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7.xml.rels" ContentType="application/vnd.openxmlformats-package.relationships+xml"/>
  <Override PartName="/xl/drawings/_rels/drawing4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8.xml.rels" ContentType="application/vnd.openxmlformats-package.relationships+xml"/>
  <Override PartName="/xl/drawings/_rels/drawing1.xml.rels" ContentType="application/vnd.openxmlformats-package.relationships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36" firstSheet="0" activeTab="7"/>
  </bookViews>
  <sheets>
    <sheet name="３次ベジェ曲線" sheetId="1" state="visible" r:id="rId2"/>
    <sheet name="２次ベジェ曲線" sheetId="2" state="visible" r:id="rId3"/>
    <sheet name="３次ベジェ中間線" sheetId="3" state="visible" r:id="rId4"/>
    <sheet name="楕円" sheetId="4" state="visible" r:id="rId5"/>
    <sheet name="インボリュート曲線" sheetId="5" state="visible" r:id="rId6"/>
    <sheet name="トロコイド" sheetId="6" state="visible" r:id="rId7"/>
    <sheet name="外トロコイド" sheetId="7" state="visible" r:id="rId8"/>
    <sheet name="内トロコイド" sheetId="8" state="visible" r:id="rId9"/>
  </sheets>
  <calcPr iterateCount="100" refMode="A1" iterate="false" iterateDelta="0.0001"/>
</workbook>
</file>

<file path=xl/sharedStrings.xml><?xml version="1.0" encoding="utf-8"?>
<sst xmlns="http://schemas.openxmlformats.org/spreadsheetml/2006/main" count="1422" uniqueCount="191">
  <si>
    <r>
      <t>３次ベジェ曲線 計算表</t>
    </r>
    <r>
      <rPr>
        <b val="true"/>
        <sz val="16"/>
        <rFont val="Arial"/>
        <family val="2"/>
        <charset val="1"/>
      </rPr>
      <t>(cubic bezier curve calculator)</t>
    </r>
  </si>
  <si>
    <r>
      <t>始点</t>
    </r>
    <r>
      <rPr>
        <sz val="10"/>
        <rFont val="Arial"/>
        <family val="2"/>
        <charset val="1"/>
      </rPr>
      <t>(start point)</t>
    </r>
  </si>
  <si>
    <r>
      <t>制御点１</t>
    </r>
    <r>
      <rPr>
        <sz val="10"/>
        <rFont val="Arial"/>
        <family val="2"/>
        <charset val="1"/>
      </rPr>
      <t>(start control point)</t>
    </r>
  </si>
  <si>
    <r>
      <t>制御点２</t>
    </r>
    <r>
      <rPr>
        <sz val="10"/>
        <rFont val="Arial"/>
        <family val="2"/>
        <charset val="1"/>
      </rPr>
      <t>(end control point)</t>
    </r>
  </si>
  <si>
    <r>
      <t>終点</t>
    </r>
    <r>
      <rPr>
        <sz val="10"/>
        <rFont val="Arial"/>
        <family val="2"/>
        <charset val="1"/>
      </rPr>
      <t>(end point)</t>
    </r>
  </si>
  <si>
    <t>X</t>
  </si>
  <si>
    <t>Y</t>
  </si>
  <si>
    <r>
      <t>曲率</t>
    </r>
    <r>
      <rPr>
        <sz val="10"/>
        <rFont val="Arial"/>
        <family val="2"/>
        <charset val="1"/>
      </rPr>
      <t>(ratio) 0.0 ↔ 1.0</t>
    </r>
  </si>
  <si>
    <r>
      <t>↓結果</t>
    </r>
    <r>
      <rPr>
        <sz val="12"/>
        <rFont val="Arial"/>
        <family val="2"/>
        <charset val="1"/>
      </rPr>
      <t>(result)</t>
    </r>
  </si>
  <si>
    <r>
      <t>計算枠</t>
    </r>
    <r>
      <rPr>
        <sz val="10"/>
        <rFont val="Arial"/>
        <family val="2"/>
        <charset val="1"/>
      </rPr>
      <t>(temporary)</t>
    </r>
  </si>
  <si>
    <t>参考値(reference)</t>
  </si>
  <si>
    <t>曲率(ratio)</t>
  </si>
  <si>
    <t>計算枠(temporary)</t>
  </si>
  <si>
    <r>
      <t>２次ベジェ曲線 計算表</t>
    </r>
    <r>
      <rPr>
        <b val="true"/>
        <sz val="16"/>
        <rFont val="Arial"/>
        <family val="2"/>
        <charset val="1"/>
      </rPr>
      <t>(quadratic bezier curve calculator)</t>
    </r>
  </si>
  <si>
    <r>
      <t>制御点</t>
    </r>
    <r>
      <rPr>
        <sz val="10"/>
        <rFont val="Arial"/>
        <family val="2"/>
        <charset val="1"/>
      </rPr>
      <t>(control point)</t>
    </r>
  </si>
  <si>
    <r>
      <t>３次ベジェ中間線 計算表</t>
    </r>
    <r>
      <rPr>
        <b val="true"/>
        <sz val="16"/>
        <rFont val="Arial"/>
        <family val="2"/>
        <charset val="1"/>
      </rPr>
      <t>(cubic bezier center curve calculator)</t>
    </r>
  </si>
  <si>
    <r>
      <t>楕円 計算表</t>
    </r>
    <r>
      <rPr>
        <b val="true"/>
        <sz val="16"/>
        <rFont val="Arial"/>
        <family val="2"/>
        <charset val="1"/>
      </rPr>
      <t>(ellipse calculator)</t>
    </r>
  </si>
  <si>
    <t>中心(center)</t>
  </si>
  <si>
    <t>半径(radius)</t>
  </si>
  <si>
    <t>A</t>
  </si>
  <si>
    <t>B</t>
  </si>
  <si>
    <t>回転(rotate)</t>
  </si>
  <si>
    <t>度数(degree) 0 ↔ 360</t>
  </si>
  <si>
    <t>ラジアン(radian)  0 ↔ 2π(6.2831...)</t>
  </si>
  <si>
    <t>剪断変形(shear deformation)</t>
  </si>
  <si>
    <t>度数(degree) -90 ↔ 90</t>
  </si>
  <si>
    <t>ラジアン(radian)  -π/2 ↔ π/2(1.5707...)</t>
  </si>
  <si>
    <t>角度(angle)</t>
  </si>
  <si>
    <t>扁平率(flattening)</t>
  </si>
  <si>
    <t>剪断変形楕円(deformated ellipse)</t>
  </si>
  <si>
    <t>ラジアン(radian)</t>
  </si>
  <si>
    <t>1/18π</t>
  </si>
  <si>
    <t>1/9π</t>
  </si>
  <si>
    <t>1/6π</t>
  </si>
  <si>
    <t>2/9π</t>
  </si>
  <si>
    <t>5/18π</t>
  </si>
  <si>
    <t>1/3π</t>
  </si>
  <si>
    <t>7/18π</t>
  </si>
  <si>
    <t>4/9π</t>
  </si>
  <si>
    <t>1/2π</t>
  </si>
  <si>
    <t>5/9π</t>
  </si>
  <si>
    <t>11/18π</t>
  </si>
  <si>
    <t>2/3π</t>
  </si>
  <si>
    <t>13/18π</t>
  </si>
  <si>
    <t>7/9π</t>
  </si>
  <si>
    <t>5/6π</t>
  </si>
  <si>
    <t>8/9π</t>
  </si>
  <si>
    <t>17/18π</t>
  </si>
  <si>
    <t>度数(degree)</t>
  </si>
  <si>
    <t>0°</t>
  </si>
  <si>
    <t>10°</t>
  </si>
  <si>
    <t>20°</t>
  </si>
  <si>
    <t>30°</t>
  </si>
  <si>
    <t>40°</t>
  </si>
  <si>
    <t>50°</t>
  </si>
  <si>
    <t>60°</t>
  </si>
  <si>
    <t>70°</t>
  </si>
  <si>
    <t>80°</t>
  </si>
  <si>
    <t>90°</t>
  </si>
  <si>
    <t>100°</t>
  </si>
  <si>
    <t>110°</t>
  </si>
  <si>
    <t>120°</t>
  </si>
  <si>
    <t>130°</t>
  </si>
  <si>
    <t>140°</t>
  </si>
  <si>
    <t>150°</t>
  </si>
  <si>
    <t>160°</t>
  </si>
  <si>
    <t>170°</t>
  </si>
  <si>
    <t>π</t>
  </si>
  <si>
    <t>19/18π</t>
  </si>
  <si>
    <t>10/9π</t>
  </si>
  <si>
    <t>7/6π</t>
  </si>
  <si>
    <t>11/9π</t>
  </si>
  <si>
    <t>23/18π</t>
  </si>
  <si>
    <t>4/3π</t>
  </si>
  <si>
    <t>25/18π</t>
  </si>
  <si>
    <t>13/9π</t>
  </si>
  <si>
    <t>3/2π</t>
  </si>
  <si>
    <t>14/9π</t>
  </si>
  <si>
    <t>29/18π</t>
  </si>
  <si>
    <t>5/3π</t>
  </si>
  <si>
    <t>31/18π</t>
  </si>
  <si>
    <t>16/9π</t>
  </si>
  <si>
    <t>11/6π</t>
  </si>
  <si>
    <t>17/9π</t>
  </si>
  <si>
    <t>35/18π</t>
  </si>
  <si>
    <t>180°</t>
  </si>
  <si>
    <t>190°</t>
  </si>
  <si>
    <t>200°</t>
  </si>
  <si>
    <t>210°</t>
  </si>
  <si>
    <t>220°</t>
  </si>
  <si>
    <t>230°</t>
  </si>
  <si>
    <t>240°</t>
  </si>
  <si>
    <t>250°</t>
  </si>
  <si>
    <t>260°</t>
  </si>
  <si>
    <t>270°</t>
  </si>
  <si>
    <t>280°</t>
  </si>
  <si>
    <t>290°</t>
  </si>
  <si>
    <t>300°</t>
  </si>
  <si>
    <t>310°</t>
  </si>
  <si>
    <t>320°</t>
  </si>
  <si>
    <t>330°</t>
  </si>
  <si>
    <t>340°</t>
  </si>
  <si>
    <t>350°</t>
  </si>
  <si>
    <r>
      <t>インボリュート曲線 計算表</t>
    </r>
    <r>
      <rPr>
        <b val="true"/>
        <sz val="16"/>
        <rFont val="Arial"/>
        <family val="2"/>
        <charset val="1"/>
      </rPr>
      <t>(involute curve calculator)</t>
    </r>
  </si>
  <si>
    <r>
      <t>中心</t>
    </r>
    <r>
      <rPr>
        <sz val="10"/>
        <rFont val="Arial"/>
        <family val="2"/>
        <charset val="1"/>
      </rPr>
      <t>(cevter)</t>
    </r>
  </si>
  <si>
    <t>半径</t>
  </si>
  <si>
    <t>r</t>
  </si>
  <si>
    <t>2π</t>
  </si>
  <si>
    <t>37/18π</t>
  </si>
  <si>
    <t>19/9π</t>
  </si>
  <si>
    <t>13/6π</t>
  </si>
  <si>
    <t>20/9π</t>
  </si>
  <si>
    <t>41/18π</t>
  </si>
  <si>
    <t>7/3π</t>
  </si>
  <si>
    <t>43/18π</t>
  </si>
  <si>
    <t>22/9π</t>
  </si>
  <si>
    <t>5/2π</t>
  </si>
  <si>
    <t>23/9π</t>
  </si>
  <si>
    <t>47/18π</t>
  </si>
  <si>
    <t>8/3π</t>
  </si>
  <si>
    <t>49/18π</t>
  </si>
  <si>
    <t>25/9π</t>
  </si>
  <si>
    <t>17/6π</t>
  </si>
  <si>
    <t>26/9π</t>
  </si>
  <si>
    <t>53/18π</t>
  </si>
  <si>
    <t>360°</t>
  </si>
  <si>
    <t>370°</t>
  </si>
  <si>
    <t>380°</t>
  </si>
  <si>
    <t>390°</t>
  </si>
  <si>
    <t>400°</t>
  </si>
  <si>
    <t>410°</t>
  </si>
  <si>
    <t>420°</t>
  </si>
  <si>
    <t>430°</t>
  </si>
  <si>
    <t>440°</t>
  </si>
  <si>
    <t>450°</t>
  </si>
  <si>
    <t>460°</t>
  </si>
  <si>
    <t>470°</t>
  </si>
  <si>
    <t>480°</t>
  </si>
  <si>
    <t>490°</t>
  </si>
  <si>
    <t>500°</t>
  </si>
  <si>
    <t>510°</t>
  </si>
  <si>
    <t>520°</t>
  </si>
  <si>
    <t>530°</t>
  </si>
  <si>
    <t>3π</t>
  </si>
  <si>
    <t>55/18π</t>
  </si>
  <si>
    <t>28/9π</t>
  </si>
  <si>
    <t>19/6π</t>
  </si>
  <si>
    <t>29/9π</t>
  </si>
  <si>
    <t>59/18π</t>
  </si>
  <si>
    <t>10/3π</t>
  </si>
  <si>
    <t>61/18π</t>
  </si>
  <si>
    <t>31/9π</t>
  </si>
  <si>
    <t>7/2π</t>
  </si>
  <si>
    <t>32/9π</t>
  </si>
  <si>
    <t>65/18π</t>
  </si>
  <si>
    <t>11/3π</t>
  </si>
  <si>
    <t>67/18π</t>
  </si>
  <si>
    <t>34/9π</t>
  </si>
  <si>
    <t>23/6π</t>
  </si>
  <si>
    <t>35/9π</t>
  </si>
  <si>
    <t>71/18π</t>
  </si>
  <si>
    <t>540°</t>
  </si>
  <si>
    <t>550°</t>
  </si>
  <si>
    <t>560°</t>
  </si>
  <si>
    <t>570°</t>
  </si>
  <si>
    <t>580°</t>
  </si>
  <si>
    <t>590°</t>
  </si>
  <si>
    <t>600°</t>
  </si>
  <si>
    <t>610°</t>
  </si>
  <si>
    <t>620°</t>
  </si>
  <si>
    <t>630°</t>
  </si>
  <si>
    <t>640°</t>
  </si>
  <si>
    <t>650°</t>
  </si>
  <si>
    <t>660°</t>
  </si>
  <si>
    <t>670°</t>
  </si>
  <si>
    <t>680°</t>
  </si>
  <si>
    <t>690°</t>
  </si>
  <si>
    <t>700°</t>
  </si>
  <si>
    <t>710°</t>
  </si>
  <si>
    <r>
      <t>トロコイド 計算表</t>
    </r>
    <r>
      <rPr>
        <b val="true"/>
        <sz val="16"/>
        <rFont val="Arial"/>
        <family val="2"/>
        <charset val="1"/>
      </rPr>
      <t>(trochoid calculator)</t>
    </r>
  </si>
  <si>
    <t>r=rd -&gt; サイクロイド(cycloid)</t>
  </si>
  <si>
    <t>定点</t>
  </si>
  <si>
    <t>rd</t>
  </si>
  <si>
    <r>
      <t>外トロコイド 計算表</t>
    </r>
    <r>
      <rPr>
        <b val="true"/>
        <sz val="16"/>
        <rFont val="Arial"/>
        <family val="2"/>
        <charset val="1"/>
      </rPr>
      <t>(epitrochoid calculator)</t>
    </r>
  </si>
  <si>
    <t>r=rd -&gt; 外サイクロイド(epicycloid)</t>
  </si>
  <si>
    <t>定円半径</t>
  </si>
  <si>
    <t>動円半径</t>
  </si>
  <si>
    <t>rc</t>
  </si>
  <si>
    <t>rm</t>
  </si>
  <si>
    <r>
      <t>内トロコイド 計算表</t>
    </r>
    <r>
      <rPr>
        <b val="true"/>
        <sz val="16"/>
        <rFont val="Arial"/>
        <family val="2"/>
        <charset val="1"/>
      </rPr>
      <t>(hypotrochoid calculator)</t>
    </r>
  </si>
  <si>
    <t>r=rd -&gt; 内サイクロイド(hypocycloid)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</si>
</sst>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11">
    <font>
      <sz val="10"/>
      <name val="Takao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TakaoPGothic"/>
      <family val="2"/>
      <charset val="1"/>
    </font>
    <font>
      <b val="true"/>
      <sz val="16"/>
      <name val="Arial"/>
      <family val="2"/>
      <charset val="1"/>
    </font>
    <font>
      <sz val="10"/>
      <name val="Arial"/>
      <family val="2"/>
      <charset val="1"/>
    </font>
    <font>
      <sz val="12"/>
      <name val="TakaoPGothic"/>
      <family val="2"/>
      <charset val="1"/>
    </font>
    <font>
      <sz val="12"/>
      <name val="Arial"/>
      <family val="2"/>
      <charset val="1"/>
    </font>
    <font>
      <sz val="10"/>
      <color rgb="FF000000"/>
      <name val="TakaoPGothic"/>
      <family val="2"/>
    </font>
    <font>
      <sz val="10"/>
      <name val="TakaoPGothic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99FF99"/>
        <bgColor rgb="FFCCFFCC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FE7F5"/>
      </patternFill>
    </fill>
    <fill>
      <patternFill patternType="solid">
        <fgColor rgb="FFFF9999"/>
        <bgColor rgb="FFFF99FF"/>
      </patternFill>
    </fill>
    <fill>
      <patternFill patternType="solid">
        <fgColor rgb="FFFFCCCC"/>
        <bgColor rgb="FFFFCCFF"/>
      </patternFill>
    </fill>
    <fill>
      <patternFill patternType="solid">
        <fgColor rgb="FFCCCCCC"/>
        <bgColor rgb="FFCFE7F5"/>
      </patternFill>
    </fill>
    <fill>
      <patternFill patternType="solid">
        <fgColor rgb="FFEEEEEE"/>
        <bgColor rgb="FFE6E6FF"/>
      </patternFill>
    </fill>
    <fill>
      <patternFill patternType="solid">
        <fgColor rgb="FF00CCFF"/>
        <bgColor rgb="FF33CCCC"/>
      </patternFill>
    </fill>
    <fill>
      <patternFill patternType="solid">
        <fgColor rgb="FFCFE7F5"/>
        <bgColor rgb="FFE6E6FF"/>
      </patternFill>
    </fill>
    <fill>
      <patternFill patternType="solid">
        <fgColor rgb="FFCC99FF"/>
        <bgColor rgb="FFFF99FF"/>
      </patternFill>
    </fill>
    <fill>
      <patternFill patternType="solid">
        <fgColor rgb="FFE6E6FF"/>
        <bgColor rgb="FFEEEEEE"/>
      </patternFill>
    </fill>
    <fill>
      <patternFill patternType="solid">
        <fgColor rgb="FFFFFF66"/>
        <bgColor rgb="FFFFFF99"/>
      </patternFill>
    </fill>
    <fill>
      <patternFill patternType="solid">
        <fgColor rgb="FFFFCC00"/>
        <bgColor rgb="FFFFD320"/>
      </patternFill>
    </fill>
    <fill>
      <patternFill patternType="solid">
        <fgColor rgb="FFFFCC99"/>
        <bgColor rgb="FFFFCCCC"/>
      </patternFill>
    </fill>
    <fill>
      <patternFill patternType="solid">
        <fgColor rgb="FFFF99FF"/>
        <bgColor rgb="FFCC99FF"/>
      </patternFill>
    </fill>
    <fill>
      <patternFill patternType="solid">
        <fgColor rgb="FFFFCCFF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1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8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FFCCFF"/>
      <rgbColor rgb="FF98B8DF"/>
      <rgbColor rgb="FF7030A0"/>
      <rgbColor rgb="FFFFFFCC"/>
      <rgbColor rgb="FFCFE7F5"/>
      <rgbColor rgb="FF660066"/>
      <rgbColor rgb="FFFF99FF"/>
      <rgbColor rgb="FF0066CC"/>
      <rgbColor rgb="FFE6E6FF"/>
      <rgbColor rgb="FF000080"/>
      <rgbColor rgb="FFFF00FF"/>
      <rgbColor rgb="FFFFD32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99"/>
      <rgbColor rgb="FFCC99FF"/>
      <rgbColor rgb="FFFFCC99"/>
      <rgbColor rgb="FF4472C4"/>
      <rgbColor rgb="FF33CCCC"/>
      <rgbColor rgb="FF99FF99"/>
      <rgbColor rgb="FFFFCC00"/>
      <rgbColor rgb="FFFFCCCC"/>
      <rgbColor rgb="FFFF420E"/>
      <rgbColor rgb="FF666699"/>
      <rgbColor rgb="FFB3B3B3"/>
      <rgbColor rgb="FF004586"/>
      <rgbColor rgb="FF70AD47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spPr>
            <a:solidFill>
              <a:srgbClr val="004586">
                <a:alpha val="50000"/>
              </a:srgbClr>
            </a:solidFill>
            <a:ln w="28800">
              <a:solidFill>
                <a:srgbClr val="004586"/>
              </a:solidFill>
              <a:custDash/>
              <a:round/>
            </a:ln>
          </c:spPr>
          <c:xVal>
            <c:numRef>
              <c:f>３次ベジェ曲線!$C$22:$M$22</c:f>
              <c:numCache>
                <c:formatCode>General</c:formatCode>
                <c:ptCount val="11"/>
                <c:pt idx="0">
                  <c:v>0</c:v>
                </c:pt>
                <c:pt idx="1">
                  <c:v>2.8</c:v>
                </c:pt>
                <c:pt idx="2">
                  <c:v>10.4</c:v>
                </c:pt>
                <c:pt idx="3">
                  <c:v>21.6</c:v>
                </c:pt>
                <c:pt idx="4">
                  <c:v>35.2</c:v>
                </c:pt>
                <c:pt idx="5">
                  <c:v>50</c:v>
                </c:pt>
                <c:pt idx="6">
                  <c:v>64.8</c:v>
                </c:pt>
                <c:pt idx="7">
                  <c:v>78.4</c:v>
                </c:pt>
                <c:pt idx="8">
                  <c:v>89.6</c:v>
                </c:pt>
                <c:pt idx="9">
                  <c:v>97.2</c:v>
                </c:pt>
                <c:pt idx="10">
                  <c:v>100</c:v>
                </c:pt>
              </c:numCache>
            </c:numRef>
          </c:xVal>
          <c:yVal>
            <c:numRef>
              <c:f>３次ベジェ曲線!$C$23:$M$23</c:f>
              <c:numCache>
                <c:formatCode>General</c:formatCode>
                <c:ptCount val="11"/>
                <c:pt idx="0">
                  <c:v>0</c:v>
                </c:pt>
                <c:pt idx="1">
                  <c:v>24.4</c:v>
                </c:pt>
                <c:pt idx="2">
                  <c:v>39.2</c:v>
                </c:pt>
                <c:pt idx="3">
                  <c:v>46.8</c:v>
                </c:pt>
                <c:pt idx="4">
                  <c:v>49.6</c:v>
                </c:pt>
                <c:pt idx="5">
                  <c:v>50</c:v>
                </c:pt>
                <c:pt idx="6">
                  <c:v>50.4</c:v>
                </c:pt>
                <c:pt idx="7">
                  <c:v>53.2</c:v>
                </c:pt>
                <c:pt idx="8">
                  <c:v>60.8</c:v>
                </c:pt>
                <c:pt idx="9">
                  <c:v>75.6</c:v>
                </c:pt>
                <c:pt idx="1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３次ベジェ曲線!$B$4</c:f>
              <c:strCache>
                <c:ptCount val="1"/>
                <c:pt idx="0">
                  <c:v>始点(start point)</c:v>
                </c:pt>
              </c:strCache>
            </c:strRef>
          </c:tx>
          <c:spPr>
            <a:solidFill>
              <a:srgbClr val="99ccff"/>
            </a:solidFill>
            <a:ln w="25560">
              <a:noFill/>
            </a:ln>
          </c:spPr>
          <c:marker>
            <c:symbol val="x"/>
            <c:size val="6"/>
            <c:spPr>
              <a:solidFill>
                <a:srgbClr val="ffffffff"/>
              </a:solidFill>
            </c:spPr>
          </c:marker>
          <c:xVal>
            <c:numRef>
              <c:f>３次ベジェ曲線!$B$6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３次ベジェ曲線!$C$6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３次ベジェ曲線!$D$4</c:f>
              <c:strCache>
                <c:ptCount val="1"/>
                <c:pt idx="0">
                  <c:v>制御点１(start control point)</c:v>
                </c:pt>
              </c:strCache>
            </c:strRef>
          </c:tx>
          <c:spPr>
            <a:solidFill>
              <a:srgbClr val="99ccff"/>
            </a:solidFill>
            <a:ln w="25560">
              <a:noFill/>
            </a:ln>
          </c:spPr>
          <c:marker>
            <c:symbol val="diamond"/>
            <c:size val="6"/>
            <c:spPr>
              <a:solidFill>
                <a:srgbClr val="ffc000"/>
              </a:solidFill>
            </c:spPr>
          </c:marker>
          <c:xVal>
            <c:numRef>
              <c:f>３次ベジェ曲線!$D$6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３次ベジェ曲線!$E$6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３次ベジェ曲線!$F$4</c:f>
              <c:strCache>
                <c:ptCount val="1"/>
                <c:pt idx="0">
                  <c:v>制御点２(end control point)</c:v>
                </c:pt>
              </c:strCache>
            </c:strRef>
          </c:tx>
          <c:spPr>
            <a:solidFill>
              <a:srgbClr val="99ccff"/>
            </a:solidFill>
            <a:ln w="25560">
              <a:noFill/>
            </a:ln>
          </c:spPr>
          <c:marker>
            <c:symbol val="diamond"/>
            <c:size val="6"/>
            <c:spPr>
              <a:solidFill>
                <a:srgbClr val="70ad47"/>
              </a:solidFill>
            </c:spPr>
          </c:marker>
          <c:xVal>
            <c:numRef>
              <c:f>３次ベジェ曲線!$F$6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３次ベジェ曲線!$G$6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３次ベジェ曲線!$H$4</c:f>
              <c:strCache>
                <c:ptCount val="1"/>
                <c:pt idx="0">
                  <c:v>終点(end point)</c:v>
                </c:pt>
              </c:strCache>
            </c:strRef>
          </c:tx>
          <c:spPr>
            <a:solidFill>
              <a:srgbClr val="99ccff"/>
            </a:solidFill>
            <a:ln w="25560">
              <a:noFill/>
            </a:ln>
          </c:spPr>
          <c:marker>
            <c:symbol val="x"/>
            <c:size val="6"/>
            <c:spPr>
              <a:solidFill>
                <a:srgbClr val="ffffffff"/>
              </a:solidFill>
            </c:spPr>
          </c:marker>
          <c:xVal>
            <c:numRef>
              <c:f>３次ベジェ曲線!$H$6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３次ベジェ曲線!$I$6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5"/>
          <c:order val="5"/>
          <c:spPr>
            <a:solidFill>
              <a:srgbClr val="99ccff"/>
            </a:solidFill>
            <a:ln w="25560">
              <a:noFill/>
            </a:ln>
          </c:spPr>
          <c:marker>
            <c:symbol val="square"/>
            <c:size val="6"/>
            <c:spPr>
              <a:solidFill>
                <a:srgbClr val="ffffffff"/>
              </a:solidFill>
            </c:spPr>
          </c:marker>
          <c:xVal>
            <c:numRef>
              <c:f>３次ベジェ曲線!$B$14:$B$14</c:f>
              <c:numCache>
                <c:formatCode>General</c:formatCode>
                <c:ptCount val="1"/>
                <c:pt idx="0">
                  <c:v>84.375</c:v>
                </c:pt>
              </c:numCache>
            </c:numRef>
          </c:xVal>
          <c:yVal>
            <c:numRef>
              <c:f>３次ベジェ曲線!$C$14:$C$14</c:f>
              <c:numCache>
                <c:formatCode>General</c:formatCode>
                <c:ptCount val="1"/>
                <c:pt idx="0">
                  <c:v>56.25</c:v>
                </c:pt>
              </c:numCache>
            </c:numRef>
          </c:yVal>
          <c:smooth val="0"/>
        </c:ser>
        <c:axId val="20851128"/>
        <c:axId val="24958922"/>
      </c:scatterChart>
      <c:valAx>
        <c:axId val="20851128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24958922"/>
        <c:crossesAt val="0"/>
      </c:valAx>
      <c:valAx>
        <c:axId val="24958922"/>
        <c:scaling>
          <c:orientation val="maxMin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20851128"/>
        <c:crossesAt val="0"/>
      </c:valAx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spPr>
            <a:solidFill>
              <a:srgbClr val="004586">
                <a:alpha val="50000"/>
              </a:srgbClr>
            </a:solidFill>
            <a:ln w="28800">
              <a:solidFill>
                <a:srgbClr val="004586"/>
              </a:solidFill>
              <a:custDash/>
              <a:round/>
            </a:ln>
          </c:spPr>
          <c:xVal>
            <c:numRef>
              <c:f>２次ベジェ曲線!$C$22:$M$22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  <c:pt idx="6">
                  <c:v>36</c:v>
                </c:pt>
                <c:pt idx="7">
                  <c:v>49</c:v>
                </c:pt>
                <c:pt idx="8">
                  <c:v>64</c:v>
                </c:pt>
                <c:pt idx="9">
                  <c:v>81</c:v>
                </c:pt>
                <c:pt idx="10">
                  <c:v>100</c:v>
                </c:pt>
              </c:numCache>
            </c:numRef>
          </c:xVal>
          <c:yVal>
            <c:numRef>
              <c:f>２次ベジェ曲線!$C$23:$M$23</c:f>
              <c:numCache>
                <c:formatCode>General</c:formatCode>
                <c:ptCount val="11"/>
                <c:pt idx="0">
                  <c:v>0</c:v>
                </c:pt>
                <c:pt idx="1">
                  <c:v>19</c:v>
                </c:pt>
                <c:pt idx="2">
                  <c:v>36</c:v>
                </c:pt>
                <c:pt idx="3">
                  <c:v>51</c:v>
                </c:pt>
                <c:pt idx="4">
                  <c:v>64</c:v>
                </c:pt>
                <c:pt idx="5">
                  <c:v>75</c:v>
                </c:pt>
                <c:pt idx="6">
                  <c:v>84</c:v>
                </c:pt>
                <c:pt idx="7">
                  <c:v>91</c:v>
                </c:pt>
                <c:pt idx="8">
                  <c:v>96</c:v>
                </c:pt>
                <c:pt idx="9">
                  <c:v>99</c:v>
                </c:pt>
                <c:pt idx="1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２次ベジェ曲線!$D$4</c:f>
              <c:strCache>
                <c:ptCount val="1"/>
                <c:pt idx="0">
                  <c:v>制御点(control point)</c:v>
                </c:pt>
              </c:strCache>
            </c:strRef>
          </c:tx>
          <c:spPr>
            <a:solidFill>
              <a:srgbClr val="99ccff"/>
            </a:solidFill>
            <a:ln w="25560">
              <a:noFill/>
            </a:ln>
          </c:spPr>
          <c:marker>
            <c:symbol val="diamond"/>
            <c:size val="6"/>
            <c:spPr>
              <a:solidFill>
                <a:srgbClr val="7030a0"/>
              </a:solidFill>
            </c:spPr>
          </c:marker>
          <c:xVal>
            <c:numRef>
              <c:f>２次ベジェ曲線!$D$6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２次ベジェ曲線!$E$6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２次ベジェ曲線!$F$4</c:f>
              <c:strCache>
                <c:ptCount val="1"/>
                <c:pt idx="0">
                  <c:v>終点(end point)</c:v>
                </c:pt>
              </c:strCache>
            </c:strRef>
          </c:tx>
          <c:spPr>
            <a:solidFill>
              <a:srgbClr val="99ccff"/>
            </a:solidFill>
            <a:ln w="25560">
              <a:noFill/>
            </a:ln>
          </c:spPr>
          <c:marker>
            <c:symbol val="x"/>
            <c:size val="6"/>
            <c:spPr>
              <a:solidFill>
                <a:srgbClr val="ffffffff"/>
              </a:solidFill>
            </c:spPr>
          </c:marker>
          <c:xVal>
            <c:numRef>
              <c:f>２次ベジェ曲線!$F$6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２次ベジェ曲線!$G$6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3"/>
          <c:order val="3"/>
          <c:spPr>
            <a:solidFill>
              <a:srgbClr val="99ccff"/>
            </a:solidFill>
            <a:ln w="25560">
              <a:noFill/>
            </a:ln>
          </c:spPr>
          <c:marker>
            <c:symbol val="square"/>
            <c:size val="6"/>
            <c:spPr>
              <a:solidFill>
                <a:srgbClr val="ffffffff"/>
              </a:solidFill>
            </c:spPr>
          </c:marker>
          <c:xVal>
            <c:numRef>
              <c:f>２次ベジェ曲線!$B$14</c:f>
              <c:numCache>
                <c:formatCode>General</c:formatCode>
                <c:ptCount val="1"/>
                <c:pt idx="0">
                  <c:v>56.25</c:v>
                </c:pt>
              </c:numCache>
            </c:numRef>
          </c:xVal>
          <c:yVal>
            <c:numRef>
              <c:f>２次ベジェ曲線!$C$14</c:f>
              <c:numCache>
                <c:formatCode>General</c:formatCode>
                <c:ptCount val="1"/>
                <c:pt idx="0">
                  <c:v>93.75</c:v>
                </c:pt>
              </c:numCache>
            </c:numRef>
          </c:yVal>
          <c:smooth val="0"/>
        </c:ser>
        <c:axId val="40378747"/>
        <c:axId val="70947268"/>
      </c:scatterChart>
      <c:valAx>
        <c:axId val="40378747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70947268"/>
        <c:crossesAt val="0"/>
      </c:valAx>
      <c:valAx>
        <c:axId val="70947268"/>
        <c:scaling>
          <c:orientation val="maxMin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40378747"/>
        <c:crossesAt val="0"/>
      </c:valAx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spPr>
            <a:solidFill>
              <a:srgbClr val="4472c4">
                <a:alpha val="50000"/>
              </a:srgbClr>
            </a:solidFill>
            <a:ln w="28800">
              <a:solidFill>
                <a:srgbClr val="4472c4"/>
              </a:solidFill>
              <a:custDash/>
              <a:round/>
            </a:ln>
          </c:spPr>
          <c:xVal>
            <c:numRef>
              <c:f>３次ベジェ中間線!$C$23:$M$23</c:f>
              <c:numCache>
                <c:formatCode>General</c:formatCode>
                <c:ptCount val="11"/>
                <c:pt idx="0">
                  <c:v>0</c:v>
                </c:pt>
                <c:pt idx="1">
                  <c:v>2.8</c:v>
                </c:pt>
                <c:pt idx="2">
                  <c:v>10.4</c:v>
                </c:pt>
                <c:pt idx="3">
                  <c:v>21.6</c:v>
                </c:pt>
                <c:pt idx="4">
                  <c:v>35.2</c:v>
                </c:pt>
                <c:pt idx="5">
                  <c:v>50</c:v>
                </c:pt>
                <c:pt idx="6">
                  <c:v>64.8</c:v>
                </c:pt>
                <c:pt idx="7">
                  <c:v>78.4</c:v>
                </c:pt>
                <c:pt idx="8">
                  <c:v>89.6</c:v>
                </c:pt>
                <c:pt idx="9">
                  <c:v>97.2</c:v>
                </c:pt>
                <c:pt idx="10">
                  <c:v>100</c:v>
                </c:pt>
              </c:numCache>
            </c:numRef>
          </c:xVal>
          <c:yVal>
            <c:numRef>
              <c:f>３次ベジェ中間線!$C$24:$M$24</c:f>
              <c:numCache>
                <c:formatCode>General</c:formatCode>
                <c:ptCount val="11"/>
                <c:pt idx="0">
                  <c:v>0</c:v>
                </c:pt>
                <c:pt idx="1">
                  <c:v>24.4</c:v>
                </c:pt>
                <c:pt idx="2">
                  <c:v>39.2</c:v>
                </c:pt>
                <c:pt idx="3">
                  <c:v>46.8</c:v>
                </c:pt>
                <c:pt idx="4">
                  <c:v>49.6</c:v>
                </c:pt>
                <c:pt idx="5">
                  <c:v>50</c:v>
                </c:pt>
                <c:pt idx="6">
                  <c:v>50.4</c:v>
                </c:pt>
                <c:pt idx="7">
                  <c:v>53.2</c:v>
                </c:pt>
                <c:pt idx="8">
                  <c:v>60.8</c:v>
                </c:pt>
                <c:pt idx="9">
                  <c:v>75.6</c:v>
                </c:pt>
                <c:pt idx="10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70ad47">
                <a:alpha val="50000"/>
              </a:srgbClr>
            </a:solidFill>
            <a:ln w="28800">
              <a:solidFill>
                <a:srgbClr val="70ad47"/>
              </a:solidFill>
              <a:custDash/>
              <a:round/>
            </a:ln>
          </c:spPr>
          <c:xVal>
            <c:numRef>
              <c:f>３次ベジェ中間線!$C$27:$M$27</c:f>
              <c:numCache>
                <c:formatCode>General</c:formatCode>
                <c:ptCount val="11"/>
                <c:pt idx="0">
                  <c:v>50</c:v>
                </c:pt>
                <c:pt idx="1">
                  <c:v>52.8</c:v>
                </c:pt>
                <c:pt idx="2">
                  <c:v>60.4</c:v>
                </c:pt>
                <c:pt idx="3">
                  <c:v>71.6</c:v>
                </c:pt>
                <c:pt idx="4">
                  <c:v>85.2</c:v>
                </c:pt>
                <c:pt idx="5">
                  <c:v>100</c:v>
                </c:pt>
                <c:pt idx="6">
                  <c:v>114.8</c:v>
                </c:pt>
                <c:pt idx="7">
                  <c:v>128.4</c:v>
                </c:pt>
                <c:pt idx="8">
                  <c:v>139.6</c:v>
                </c:pt>
                <c:pt idx="9">
                  <c:v>147.2</c:v>
                </c:pt>
                <c:pt idx="10">
                  <c:v>150</c:v>
                </c:pt>
              </c:numCache>
            </c:numRef>
          </c:xVal>
          <c:yVal>
            <c:numRef>
              <c:f>３次ベジェ中間線!$C$28:$M$28</c:f>
              <c:numCache>
                <c:formatCode>General</c:formatCode>
                <c:ptCount val="11"/>
                <c:pt idx="0">
                  <c:v>0</c:v>
                </c:pt>
                <c:pt idx="1">
                  <c:v>24.4</c:v>
                </c:pt>
                <c:pt idx="2">
                  <c:v>39.2</c:v>
                </c:pt>
                <c:pt idx="3">
                  <c:v>46.8</c:v>
                </c:pt>
                <c:pt idx="4">
                  <c:v>49.6</c:v>
                </c:pt>
                <c:pt idx="5">
                  <c:v>50</c:v>
                </c:pt>
                <c:pt idx="6">
                  <c:v>50.4</c:v>
                </c:pt>
                <c:pt idx="7">
                  <c:v>53.2</c:v>
                </c:pt>
                <c:pt idx="8">
                  <c:v>60.8</c:v>
                </c:pt>
                <c:pt idx="9">
                  <c:v>75.6</c:v>
                </c:pt>
                <c:pt idx="10">
                  <c:v>100</c:v>
                </c:pt>
              </c:numCache>
            </c:numRef>
          </c:yVal>
          <c:smooth val="0"/>
        </c:ser>
        <c:ser>
          <c:idx val="2"/>
          <c:order val="2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xVal>
            <c:numRef>
              <c:f>３次ベジェ中間線!$C$31:$M$31</c:f>
              <c:numCache>
                <c:formatCode>General</c:formatCode>
                <c:ptCount val="11"/>
                <c:pt idx="0">
                  <c:v>25</c:v>
                </c:pt>
                <c:pt idx="1">
                  <c:v>27.8</c:v>
                </c:pt>
                <c:pt idx="2">
                  <c:v>35.4</c:v>
                </c:pt>
                <c:pt idx="3">
                  <c:v>46.6</c:v>
                </c:pt>
                <c:pt idx="4">
                  <c:v>60.2</c:v>
                </c:pt>
                <c:pt idx="5">
                  <c:v>75</c:v>
                </c:pt>
                <c:pt idx="6">
                  <c:v>89.8</c:v>
                </c:pt>
                <c:pt idx="7">
                  <c:v>103.4</c:v>
                </c:pt>
                <c:pt idx="8">
                  <c:v>114.6</c:v>
                </c:pt>
                <c:pt idx="9">
                  <c:v>122.2</c:v>
                </c:pt>
                <c:pt idx="10">
                  <c:v>125</c:v>
                </c:pt>
              </c:numCache>
            </c:numRef>
          </c:xVal>
          <c:yVal>
            <c:numRef>
              <c:f>３次ベジェ中間線!$C$32:$M$32</c:f>
              <c:numCache>
                <c:formatCode>General</c:formatCode>
                <c:ptCount val="11"/>
                <c:pt idx="0">
                  <c:v>0</c:v>
                </c:pt>
                <c:pt idx="1">
                  <c:v>24.4</c:v>
                </c:pt>
                <c:pt idx="2">
                  <c:v>39.2</c:v>
                </c:pt>
                <c:pt idx="3">
                  <c:v>46.8</c:v>
                </c:pt>
                <c:pt idx="4">
                  <c:v>49.6</c:v>
                </c:pt>
                <c:pt idx="5">
                  <c:v>50</c:v>
                </c:pt>
                <c:pt idx="6">
                  <c:v>50.4</c:v>
                </c:pt>
                <c:pt idx="7">
                  <c:v>53.2</c:v>
                </c:pt>
                <c:pt idx="8">
                  <c:v>60.8</c:v>
                </c:pt>
                <c:pt idx="9">
                  <c:v>75.6</c:v>
                </c:pt>
                <c:pt idx="10">
                  <c:v>100</c:v>
                </c:pt>
              </c:numCache>
            </c:numRef>
          </c:yVal>
          <c:smooth val="0"/>
        </c:ser>
        <c:axId val="73011993"/>
        <c:axId val="13714212"/>
      </c:scatterChart>
      <c:valAx>
        <c:axId val="73011993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13714212"/>
        <c:crossesAt val="0"/>
      </c:valAx>
      <c:valAx>
        <c:axId val="13714212"/>
        <c:scaling>
          <c:orientation val="maxMin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73011993"/>
        <c:crossesAt val="0"/>
      </c:valAx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spPr>
            <a:solidFill>
              <a:srgbClr val="4472c4"/>
            </a:solidFill>
            <a:ln w="28800">
              <a:solidFill>
                <a:srgbClr val="4472c4"/>
              </a:solidFill>
              <a:round/>
            </a:ln>
          </c:spPr>
          <c:xVal>
            <c:numRef>
              <c:f>楕円!$D$32:$V$32</c:f>
              <c:numCache>
                <c:formatCode>General</c:formatCode>
                <c:ptCount val="19"/>
                <c:pt idx="0">
                  <c:v>200</c:v>
                </c:pt>
                <c:pt idx="1">
                  <c:v>198.480775301221</c:v>
                </c:pt>
                <c:pt idx="2">
                  <c:v>193.969262078591</c:v>
                </c:pt>
                <c:pt idx="3">
                  <c:v>186.602540378444</c:v>
                </c:pt>
                <c:pt idx="4">
                  <c:v>176.604444311898</c:v>
                </c:pt>
                <c:pt idx="5">
                  <c:v>164.278760968654</c:v>
                </c:pt>
                <c:pt idx="6">
                  <c:v>150</c:v>
                </c:pt>
                <c:pt idx="7">
                  <c:v>134.202014332567</c:v>
                </c:pt>
                <c:pt idx="8">
                  <c:v>117.364817766693</c:v>
                </c:pt>
                <c:pt idx="9">
                  <c:v>100</c:v>
                </c:pt>
                <c:pt idx="10">
                  <c:v>82.635182233307</c:v>
                </c:pt>
                <c:pt idx="11">
                  <c:v>65.7979856674331</c:v>
                </c:pt>
                <c:pt idx="12">
                  <c:v>50</c:v>
                </c:pt>
                <c:pt idx="13">
                  <c:v>35.7212390313461</c:v>
                </c:pt>
                <c:pt idx="14">
                  <c:v>23.3955556881022</c:v>
                </c:pt>
                <c:pt idx="15">
                  <c:v>13.3974596215561</c:v>
                </c:pt>
                <c:pt idx="16">
                  <c:v>6.03073792140917</c:v>
                </c:pt>
                <c:pt idx="17">
                  <c:v>1.5192246987792</c:v>
                </c:pt>
                <c:pt idx="18">
                  <c:v>0</c:v>
                </c:pt>
              </c:numCache>
            </c:numRef>
          </c:xVal>
          <c:yVal>
            <c:numRef>
              <c:f>楕円!$D$33:$V$33</c:f>
              <c:numCache>
                <c:formatCode>General</c:formatCode>
                <c:ptCount val="19"/>
                <c:pt idx="0">
                  <c:v>100</c:v>
                </c:pt>
                <c:pt idx="1">
                  <c:v>108.682408883347</c:v>
                </c:pt>
                <c:pt idx="2">
                  <c:v>117.101007166283</c:v>
                </c:pt>
                <c:pt idx="3">
                  <c:v>125</c:v>
                </c:pt>
                <c:pt idx="4">
                  <c:v>132.139380484327</c:v>
                </c:pt>
                <c:pt idx="5">
                  <c:v>138.302222155949</c:v>
                </c:pt>
                <c:pt idx="6">
                  <c:v>143.301270189222</c:v>
                </c:pt>
                <c:pt idx="7">
                  <c:v>146.984631039295</c:v>
                </c:pt>
                <c:pt idx="8">
                  <c:v>149.24038765061</c:v>
                </c:pt>
                <c:pt idx="9">
                  <c:v>150</c:v>
                </c:pt>
                <c:pt idx="10">
                  <c:v>149.24038765061</c:v>
                </c:pt>
                <c:pt idx="11">
                  <c:v>146.984631039295</c:v>
                </c:pt>
                <c:pt idx="12">
                  <c:v>143.301270189222</c:v>
                </c:pt>
                <c:pt idx="13">
                  <c:v>138.302222155949</c:v>
                </c:pt>
                <c:pt idx="14">
                  <c:v>132.139380484327</c:v>
                </c:pt>
                <c:pt idx="15">
                  <c:v>125</c:v>
                </c:pt>
                <c:pt idx="16">
                  <c:v>117.101007166283</c:v>
                </c:pt>
                <c:pt idx="17">
                  <c:v>108.682408883347</c:v>
                </c:pt>
                <c:pt idx="18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99ccff"/>
            </a:solidFill>
            <a:ln w="25560">
              <a:noFill/>
            </a:ln>
          </c:spPr>
          <c:marker>
            <c:symbol val="x"/>
            <c:size val="7"/>
            <c:spPr>
              <a:solidFill>
                <a:srgbClr val="ffffffff"/>
              </a:solidFill>
            </c:spPr>
          </c:marker>
          <c:xVal>
            <c:numRef>
              <c:f>楕円!$E$28:$E$28</c:f>
              <c:numCache>
                <c:formatCode>General</c:formatCode>
                <c:ptCount val="1"/>
                <c:pt idx="0">
                  <c:v>128.867513459481</c:v>
                </c:pt>
              </c:numCache>
            </c:numRef>
          </c:xVal>
          <c:yVal>
            <c:numRef>
              <c:f>楕円!$F$28:$F$28</c:f>
              <c:numCache>
                <c:formatCode>General</c:formatCode>
                <c:ptCount val="1"/>
                <c:pt idx="0">
                  <c:v>150</c:v>
                </c:pt>
              </c:numCache>
            </c:numRef>
          </c:yVal>
          <c:smooth val="0"/>
        </c:ser>
        <c:ser>
          <c:idx val="2"/>
          <c:order val="2"/>
          <c:spPr>
            <a:solidFill>
              <a:srgbClr val="7030a0">
                <a:alpha val="50000"/>
              </a:srgbClr>
            </a:solidFill>
            <a:ln w="28800">
              <a:solidFill>
                <a:srgbClr val="7030a0"/>
              </a:solidFill>
              <a:custDash/>
              <a:round/>
            </a:ln>
          </c:spPr>
          <c:xVal>
            <c:numRef>
              <c:f>楕円!$D$42:$V$42</c:f>
              <c:numCache>
                <c:formatCode>General</c:formatCode>
                <c:ptCount val="19"/>
                <c:pt idx="0">
                  <c:v>200</c:v>
                </c:pt>
                <c:pt idx="1">
                  <c:v>203.493566407235</c:v>
                </c:pt>
                <c:pt idx="2">
                  <c:v>203.842533169458</c:v>
                </c:pt>
                <c:pt idx="3">
                  <c:v>201.036297108185</c:v>
                </c:pt>
                <c:pt idx="4">
                  <c:v>195.160124286112</c:v>
                </c:pt>
                <c:pt idx="5">
                  <c:v>186.392559240952</c:v>
                </c:pt>
                <c:pt idx="6">
                  <c:v>175</c:v>
                </c:pt>
                <c:pt idx="7">
                  <c:v>161.328603710879</c:v>
                </c:pt>
                <c:pt idx="8">
                  <c:v>145.793768831774</c:v>
                </c:pt>
                <c:pt idx="9">
                  <c:v>128.867513459481</c:v>
                </c:pt>
                <c:pt idx="10">
                  <c:v>111.064133298388</c:v>
                </c:pt>
                <c:pt idx="11">
                  <c:v>92.9245750457456</c:v>
                </c:pt>
                <c:pt idx="12">
                  <c:v>75</c:v>
                </c:pt>
                <c:pt idx="13">
                  <c:v>57.835037303644</c:v>
                </c:pt>
                <c:pt idx="14">
                  <c:v>41.9512356623162</c:v>
                </c:pt>
                <c:pt idx="15">
                  <c:v>27.8312163512968</c:v>
                </c:pt>
                <c:pt idx="16">
                  <c:v>15.9040090122766</c:v>
                </c:pt>
                <c:pt idx="17">
                  <c:v>6.53201580479371</c:v>
                </c:pt>
                <c:pt idx="18">
                  <c:v>3.53669895119373E-015</c:v>
                </c:pt>
              </c:numCache>
            </c:numRef>
          </c:xVal>
          <c:yVal>
            <c:numRef>
              <c:f>楕円!$D$43:$V$43</c:f>
              <c:numCache>
                <c:formatCode>General</c:formatCode>
                <c:ptCount val="19"/>
                <c:pt idx="0">
                  <c:v>100</c:v>
                </c:pt>
                <c:pt idx="1">
                  <c:v>108.682408883347</c:v>
                </c:pt>
                <c:pt idx="2">
                  <c:v>117.101007166283</c:v>
                </c:pt>
                <c:pt idx="3">
                  <c:v>125</c:v>
                </c:pt>
                <c:pt idx="4">
                  <c:v>132.139380484327</c:v>
                </c:pt>
                <c:pt idx="5">
                  <c:v>138.302222155949</c:v>
                </c:pt>
                <c:pt idx="6">
                  <c:v>143.301270189222</c:v>
                </c:pt>
                <c:pt idx="7">
                  <c:v>146.984631039295</c:v>
                </c:pt>
                <c:pt idx="8">
                  <c:v>149.24038765061</c:v>
                </c:pt>
                <c:pt idx="9">
                  <c:v>150</c:v>
                </c:pt>
                <c:pt idx="10">
                  <c:v>149.24038765061</c:v>
                </c:pt>
                <c:pt idx="11">
                  <c:v>146.984631039295</c:v>
                </c:pt>
                <c:pt idx="12">
                  <c:v>143.301270189222</c:v>
                </c:pt>
                <c:pt idx="13">
                  <c:v>138.302222155949</c:v>
                </c:pt>
                <c:pt idx="14">
                  <c:v>132.139380484327</c:v>
                </c:pt>
                <c:pt idx="15">
                  <c:v>125</c:v>
                </c:pt>
                <c:pt idx="16">
                  <c:v>117.101007166283</c:v>
                </c:pt>
                <c:pt idx="17">
                  <c:v>108.682408883347</c:v>
                </c:pt>
                <c:pt idx="18">
                  <c:v>100</c:v>
                </c:pt>
              </c:numCache>
            </c:numRef>
          </c:yVal>
          <c:smooth val="0"/>
        </c:ser>
        <c:ser>
          <c:idx val="3"/>
          <c:order val="3"/>
          <c:spPr>
            <a:solidFill>
              <a:srgbClr val="7030a0">
                <a:alpha val="50000"/>
              </a:srgbClr>
            </a:solidFill>
            <a:ln w="28800">
              <a:solidFill>
                <a:srgbClr val="7030a0"/>
              </a:solidFill>
              <a:custDash/>
              <a:round/>
            </a:ln>
          </c:spPr>
          <c:xVal>
            <c:numRef>
              <c:f>楕円!$D$47:$V$47</c:f>
              <c:numCache>
                <c:formatCode>General</c:formatCode>
                <c:ptCount val="19"/>
                <c:pt idx="0">
                  <c:v>3.53669895119373E-015</c:v>
                </c:pt>
                <c:pt idx="1">
                  <c:v>-3.49356640723532</c:v>
                </c:pt>
                <c:pt idx="2">
                  <c:v>-3.8425331694583</c:v>
                </c:pt>
                <c:pt idx="3">
                  <c:v>-1.03629710818451</c:v>
                </c:pt>
                <c:pt idx="4">
                  <c:v>4.83987571388822</c:v>
                </c:pt>
                <c:pt idx="5">
                  <c:v>13.6074407590481</c:v>
                </c:pt>
                <c:pt idx="6">
                  <c:v>25</c:v>
                </c:pt>
                <c:pt idx="7">
                  <c:v>38.6713962891207</c:v>
                </c:pt>
                <c:pt idx="8">
                  <c:v>54.2062311682255</c:v>
                </c:pt>
                <c:pt idx="9">
                  <c:v>71.1324865405187</c:v>
                </c:pt>
                <c:pt idx="10">
                  <c:v>88.9358667016116</c:v>
                </c:pt>
                <c:pt idx="11">
                  <c:v>107.075424954254</c:v>
                </c:pt>
                <c:pt idx="12">
                  <c:v>125</c:v>
                </c:pt>
                <c:pt idx="13">
                  <c:v>142.164962696356</c:v>
                </c:pt>
                <c:pt idx="14">
                  <c:v>158.048764337684</c:v>
                </c:pt>
                <c:pt idx="15">
                  <c:v>172.168783648703</c:v>
                </c:pt>
                <c:pt idx="16">
                  <c:v>184.095990987723</c:v>
                </c:pt>
                <c:pt idx="17">
                  <c:v>193.467984195206</c:v>
                </c:pt>
                <c:pt idx="18">
                  <c:v>200</c:v>
                </c:pt>
              </c:numCache>
            </c:numRef>
          </c:xVal>
          <c:yVal>
            <c:numRef>
              <c:f>楕円!$D$48:$V$48</c:f>
              <c:numCache>
                <c:formatCode>General</c:formatCode>
                <c:ptCount val="19"/>
                <c:pt idx="0">
                  <c:v>100</c:v>
                </c:pt>
                <c:pt idx="1">
                  <c:v>91.3175911166535</c:v>
                </c:pt>
                <c:pt idx="2">
                  <c:v>82.8989928337166</c:v>
                </c:pt>
                <c:pt idx="3">
                  <c:v>75</c:v>
                </c:pt>
                <c:pt idx="4">
                  <c:v>67.860619515673</c:v>
                </c:pt>
                <c:pt idx="5">
                  <c:v>61.6977778440511</c:v>
                </c:pt>
                <c:pt idx="6">
                  <c:v>56.6987298107781</c:v>
                </c:pt>
                <c:pt idx="7">
                  <c:v>53.0153689607046</c:v>
                </c:pt>
                <c:pt idx="8">
                  <c:v>50.7596123493896</c:v>
                </c:pt>
                <c:pt idx="9">
                  <c:v>50</c:v>
                </c:pt>
                <c:pt idx="10">
                  <c:v>50.7596123493896</c:v>
                </c:pt>
                <c:pt idx="11">
                  <c:v>53.0153689607046</c:v>
                </c:pt>
                <c:pt idx="12">
                  <c:v>56.6987298107781</c:v>
                </c:pt>
                <c:pt idx="13">
                  <c:v>61.6977778440511</c:v>
                </c:pt>
                <c:pt idx="14">
                  <c:v>67.860619515673</c:v>
                </c:pt>
                <c:pt idx="15">
                  <c:v>75</c:v>
                </c:pt>
                <c:pt idx="16">
                  <c:v>82.8989928337166</c:v>
                </c:pt>
                <c:pt idx="17">
                  <c:v>91.3175911166535</c:v>
                </c:pt>
                <c:pt idx="18">
                  <c:v>100</c:v>
                </c:pt>
              </c:numCache>
            </c:numRef>
          </c:yVal>
          <c:smooth val="0"/>
        </c:ser>
        <c:ser>
          <c:idx val="4"/>
          <c:order val="4"/>
          <c:spPr>
            <a:solidFill>
              <a:srgbClr val="99ccff"/>
            </a:solidFill>
            <a:ln w="25560">
              <a:noFill/>
            </a:ln>
          </c:spPr>
          <c:marker>
            <c:symbol val="square"/>
            <c:size val="5"/>
            <c:spPr>
              <a:solidFill>
                <a:srgbClr val="ffffffff"/>
              </a:solidFill>
            </c:spPr>
          </c:marker>
          <c:xVal>
            <c:numRef>
              <c:f>楕円!$B$28:$B$28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楕円!$C$28:$C$28</c:f>
              <c:numCache>
                <c:formatCode>General</c:formatCode>
                <c:ptCount val="1"/>
                <c:pt idx="0">
                  <c:v>150</c:v>
                </c:pt>
              </c:numCache>
            </c:numRef>
          </c:yVal>
          <c:smooth val="0"/>
        </c:ser>
        <c:ser>
          <c:idx val="5"/>
          <c:order val="5"/>
          <c:spPr>
            <a:solidFill>
              <a:srgbClr val="99ccff"/>
            </a:solidFill>
            <a:ln w="25560">
              <a:noFill/>
            </a:ln>
          </c:spPr>
          <c:marker>
            <c:symbol val="plus"/>
            <c:size val="7"/>
            <c:spPr>
              <a:solidFill>
                <a:srgbClr val="ffffffff"/>
              </a:solidFill>
            </c:spPr>
          </c:marker>
          <c:xVal>
            <c:numRef>
              <c:f>楕円!$B$6:$B$6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楕円!$C$6:$C$6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6"/>
          <c:order val="6"/>
          <c:spPr>
            <a:solidFill>
              <a:srgbClr val="4472c4"/>
            </a:solidFill>
            <a:ln w="28800">
              <a:solidFill>
                <a:srgbClr val="4472c4"/>
              </a:solidFill>
              <a:round/>
            </a:ln>
          </c:spPr>
          <c:xVal>
            <c:numRef>
              <c:f>楕円!$D$37:$V$37</c:f>
              <c:numCache>
                <c:formatCode>General</c:formatCode>
                <c:ptCount val="19"/>
                <c:pt idx="0">
                  <c:v>0</c:v>
                </c:pt>
                <c:pt idx="1">
                  <c:v>1.5192246987792</c:v>
                </c:pt>
                <c:pt idx="2">
                  <c:v>6.03073792140916</c:v>
                </c:pt>
                <c:pt idx="3">
                  <c:v>13.3974596215561</c:v>
                </c:pt>
                <c:pt idx="4">
                  <c:v>23.3955556881022</c:v>
                </c:pt>
                <c:pt idx="5">
                  <c:v>35.7212390313461</c:v>
                </c:pt>
                <c:pt idx="6">
                  <c:v>50</c:v>
                </c:pt>
                <c:pt idx="7">
                  <c:v>65.7979856674332</c:v>
                </c:pt>
                <c:pt idx="8">
                  <c:v>82.635182233307</c:v>
                </c:pt>
                <c:pt idx="9">
                  <c:v>100</c:v>
                </c:pt>
                <c:pt idx="10">
                  <c:v>117.364817766693</c:v>
                </c:pt>
                <c:pt idx="11">
                  <c:v>134.202014332567</c:v>
                </c:pt>
                <c:pt idx="12">
                  <c:v>150</c:v>
                </c:pt>
                <c:pt idx="13">
                  <c:v>164.278760968654</c:v>
                </c:pt>
                <c:pt idx="14">
                  <c:v>176.604444311898</c:v>
                </c:pt>
                <c:pt idx="15">
                  <c:v>186.602540378444</c:v>
                </c:pt>
                <c:pt idx="16">
                  <c:v>193.969262078591</c:v>
                </c:pt>
                <c:pt idx="17">
                  <c:v>198.480775301221</c:v>
                </c:pt>
                <c:pt idx="18">
                  <c:v>200</c:v>
                </c:pt>
              </c:numCache>
            </c:numRef>
          </c:xVal>
          <c:yVal>
            <c:numRef>
              <c:f>楕円!$D$38:$V$38</c:f>
              <c:numCache>
                <c:formatCode>General</c:formatCode>
                <c:ptCount val="19"/>
                <c:pt idx="0">
                  <c:v>100</c:v>
                </c:pt>
                <c:pt idx="1">
                  <c:v>91.3175911166535</c:v>
                </c:pt>
                <c:pt idx="2">
                  <c:v>82.8989928337166</c:v>
                </c:pt>
                <c:pt idx="3">
                  <c:v>75</c:v>
                </c:pt>
                <c:pt idx="4">
                  <c:v>67.860619515673</c:v>
                </c:pt>
                <c:pt idx="5">
                  <c:v>61.6977778440511</c:v>
                </c:pt>
                <c:pt idx="6">
                  <c:v>56.6987298107781</c:v>
                </c:pt>
                <c:pt idx="7">
                  <c:v>53.0153689607046</c:v>
                </c:pt>
                <c:pt idx="8">
                  <c:v>50.7596123493896</c:v>
                </c:pt>
                <c:pt idx="9">
                  <c:v>50</c:v>
                </c:pt>
                <c:pt idx="10">
                  <c:v>50.7596123493896</c:v>
                </c:pt>
                <c:pt idx="11">
                  <c:v>53.0153689607046</c:v>
                </c:pt>
                <c:pt idx="12">
                  <c:v>56.6987298107781</c:v>
                </c:pt>
                <c:pt idx="13">
                  <c:v>61.6977778440511</c:v>
                </c:pt>
                <c:pt idx="14">
                  <c:v>67.860619515673</c:v>
                </c:pt>
                <c:pt idx="15">
                  <c:v>75</c:v>
                </c:pt>
                <c:pt idx="16">
                  <c:v>82.8989928337166</c:v>
                </c:pt>
                <c:pt idx="17">
                  <c:v>91.3175911166535</c:v>
                </c:pt>
                <c:pt idx="18">
                  <c:v>100</c:v>
                </c:pt>
              </c:numCache>
            </c:numRef>
          </c:yVal>
          <c:smooth val="0"/>
        </c:ser>
        <c:axId val="33062998"/>
        <c:axId val="39563664"/>
      </c:scatterChart>
      <c:valAx>
        <c:axId val="33062998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39563664"/>
        <c:crosses val="autoZero"/>
      </c:valAx>
      <c:valAx>
        <c:axId val="39563664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33062998"/>
        <c:crosses val="autoZero"/>
      </c:valAx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spPr>
            <a:solidFill>
              <a:srgbClr val="4472c4"/>
            </a:solidFill>
            <a:ln w="28800">
              <a:solidFill>
                <a:srgbClr val="4472c4"/>
              </a:solidFill>
              <a:round/>
            </a:ln>
          </c:spPr>
          <c:xVal>
            <c:numRef>
              <c:f>インボリュート曲線!$D$24:$V$24</c:f>
              <c:numCache>
                <c:formatCode>General</c:formatCode>
                <c:ptCount val="19"/>
                <c:pt idx="0">
                  <c:v>10</c:v>
                </c:pt>
                <c:pt idx="1">
                  <c:v>10.1511507741597</c:v>
                </c:pt>
                <c:pt idx="2">
                  <c:v>10.5908017296943</c:v>
                </c:pt>
                <c:pt idx="3">
                  <c:v>11.2782479158359</c:v>
                </c:pt>
                <c:pt idx="4">
                  <c:v>12.1479485032115</c:v>
                </c:pt>
                <c:pt idx="5">
                  <c:v>13.1128749713817</c:v>
                </c:pt>
                <c:pt idx="6">
                  <c:v>14.0689968211711</c:v>
                </c:pt>
                <c:pt idx="7">
                  <c:v>14.9007125658427</c:v>
                </c:pt>
                <c:pt idx="8">
                  <c:v>15.4869920080534</c:v>
                </c:pt>
                <c:pt idx="9">
                  <c:v>15.707963267949</c:v>
                </c:pt>
                <c:pt idx="10">
                  <c:v>15.4516560125608</c:v>
                </c:pt>
                <c:pt idx="11">
                  <c:v>14.6206017750928</c:v>
                </c:pt>
                <c:pt idx="12">
                  <c:v>13.1379936423422</c:v>
                </c:pt>
                <c:pt idx="13">
                  <c:v>10.953120976877</c:v>
                </c:pt>
                <c:pt idx="14">
                  <c:v>8.04581982088625</c:v>
                </c:pt>
                <c:pt idx="15">
                  <c:v>4.42971535211308</c:v>
                </c:pt>
                <c:pt idx="16">
                  <c:v>0.154077966822245</c:v>
                </c:pt>
                <c:pt idx="17">
                  <c:v>-4.69583238148285</c:v>
                </c:pt>
                <c:pt idx="18">
                  <c:v>-10</c:v>
                </c:pt>
              </c:numCache>
            </c:numRef>
          </c:xVal>
          <c:yVal>
            <c:numRef>
              <c:f>インボリュート曲線!$D$25:$V$25</c:f>
              <c:numCache>
                <c:formatCode>General</c:formatCode>
                <c:ptCount val="19"/>
                <c:pt idx="0">
                  <c:v>0</c:v>
                </c:pt>
                <c:pt idx="1">
                  <c:v>0.0176679977462899</c:v>
                </c:pt>
                <c:pt idx="2">
                  <c:v>0.140055395374966</c:v>
                </c:pt>
                <c:pt idx="3">
                  <c:v>0.465501589414455</c:v>
                </c:pt>
                <c:pt idx="4">
                  <c:v>1.07987699725236</c:v>
                </c:pt>
                <c:pt idx="5">
                  <c:v>2.05106434116263</c:v>
                </c:pt>
                <c:pt idx="6">
                  <c:v>3.4242662818614</c:v>
                </c:pt>
                <c:pt idx="7">
                  <c:v>5.218361881436</c:v>
                </c:pt>
                <c:pt idx="8">
                  <c:v>7.42349157782126</c:v>
                </c:pt>
                <c:pt idx="9">
                  <c:v>10</c:v>
                </c:pt>
                <c:pt idx="10">
                  <c:v>12.8788099704981</c:v>
                </c:pt>
                <c:pt idx="11">
                  <c:v>15.9632415779525</c:v>
                </c:pt>
                <c:pt idx="12">
                  <c:v>19.1322295498104</c:v>
                </c:pt>
                <c:pt idx="13">
                  <c:v>22.2448326652604</c:v>
                </c:pt>
                <c:pt idx="14">
                  <c:v>25.145872945511</c:v>
                </c:pt>
                <c:pt idx="15">
                  <c:v>27.6724920529277</c:v>
                </c:pt>
                <c:pt idx="16">
                  <c:v>29.6613697363105</c:v>
                </c:pt>
                <c:pt idx="17">
                  <c:v>30.9563160183605</c:v>
                </c:pt>
                <c:pt idx="18">
                  <c:v>31.4159265358979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4472c4"/>
            </a:solidFill>
            <a:ln w="28800">
              <a:solidFill>
                <a:srgbClr val="4472c4"/>
              </a:solidFill>
              <a:custDash/>
              <a:round/>
            </a:ln>
          </c:spPr>
          <c:xVal>
            <c:numRef>
              <c:f>インボリュート曲線!$D$34:$V$34</c:f>
              <c:numCache>
                <c:formatCode>General</c:formatCode>
                <c:ptCount val="19"/>
                <c:pt idx="0">
                  <c:v>9.99999999999998</c:v>
                </c:pt>
                <c:pt idx="1">
                  <c:v>21.0617875595133</c:v>
                </c:pt>
                <c:pt idx="2">
                  <c:v>32.0805611227272</c:v>
                </c:pt>
                <c:pt idx="3">
                  <c:v>42.6941744517338</c:v>
                </c:pt>
                <c:pt idx="4">
                  <c:v>52.535485151407</c:v>
                </c:pt>
                <c:pt idx="5">
                  <c:v>61.244866867899</c:v>
                </c:pt>
                <c:pt idx="6">
                  <c:v>68.4829777481976</c:v>
                </c:pt>
                <c:pt idx="7">
                  <c:v>73.9433412477137</c:v>
                </c:pt>
                <c:pt idx="8">
                  <c:v>77.3642880492819</c:v>
                </c:pt>
                <c:pt idx="9">
                  <c:v>78.5398163397448</c:v>
                </c:pt>
                <c:pt idx="10">
                  <c:v>77.3289520537893</c:v>
                </c:pt>
                <c:pt idx="11">
                  <c:v>73.6632304569638</c:v>
                </c:pt>
                <c:pt idx="12">
                  <c:v>67.5519745693688</c:v>
                </c:pt>
                <c:pt idx="13">
                  <c:v>59.0851128733942</c:v>
                </c:pt>
                <c:pt idx="14">
                  <c:v>48.4333564690817</c:v>
                </c:pt>
                <c:pt idx="15">
                  <c:v>35.845641888011</c:v>
                </c:pt>
                <c:pt idx="16">
                  <c:v>21.6438373598552</c:v>
                </c:pt>
                <c:pt idx="17">
                  <c:v>6.21480440387084</c:v>
                </c:pt>
                <c:pt idx="18">
                  <c:v>-9.99999999999997</c:v>
                </c:pt>
              </c:numCache>
            </c:numRef>
          </c:xVal>
          <c:yVal>
            <c:numRef>
              <c:f>インボリュート曲線!$D$35:$V$35</c:f>
              <c:numCache>
                <c:formatCode>General</c:formatCode>
                <c:ptCount val="19"/>
                <c:pt idx="0">
                  <c:v>-62.8318530717959</c:v>
                </c:pt>
                <c:pt idx="1">
                  <c:v>-61.8596280434822</c:v>
                </c:pt>
                <c:pt idx="2">
                  <c:v>-58.902573286496</c:v>
                </c:pt>
                <c:pt idx="3">
                  <c:v>-53.9484793376121</c:v>
                </c:pt>
                <c:pt idx="4">
                  <c:v>-47.052114899265</c:v>
                </c:pt>
                <c:pt idx="5">
                  <c:v>-38.3364723070329</c:v>
                </c:pt>
                <c:pt idx="6">
                  <c:v>-27.9916602540365</c:v>
                </c:pt>
                <c:pt idx="7">
                  <c:v>-16.271397511597</c:v>
                </c:pt>
                <c:pt idx="8">
                  <c:v>-3.48714520753242</c:v>
                </c:pt>
                <c:pt idx="9">
                  <c:v>9.99999999999998</c:v>
                </c:pt>
                <c:pt idx="10">
                  <c:v>23.7894467558517</c:v>
                </c:pt>
                <c:pt idx="11">
                  <c:v>37.4530009709854</c:v>
                </c:pt>
                <c:pt idx="12">
                  <c:v>50.5481560857082</c:v>
                </c:pt>
                <c:pt idx="13">
                  <c:v>62.6323693134559</c:v>
                </c:pt>
                <c:pt idx="14">
                  <c:v>73.2778648420284</c:v>
                </c:pt>
                <c:pt idx="15">
                  <c:v>82.0864729799543</c:v>
                </c:pt>
                <c:pt idx="16">
                  <c:v>88.7039984181815</c:v>
                </c:pt>
                <c:pt idx="17">
                  <c:v>92.833612059589</c:v>
                </c:pt>
                <c:pt idx="18">
                  <c:v>94.2477796076938</c:v>
                </c:pt>
              </c:numCache>
            </c:numRef>
          </c:yVal>
          <c:smooth val="0"/>
        </c:ser>
        <c:ser>
          <c:idx val="2"/>
          <c:order val="2"/>
          <c:spPr>
            <a:solidFill>
              <a:srgbClr val="4472c4"/>
            </a:solidFill>
            <a:ln w="28800">
              <a:solidFill>
                <a:srgbClr val="4472c4"/>
              </a:solidFill>
              <a:custDash/>
              <a:round/>
            </a:ln>
          </c:spPr>
          <c:xVal>
            <c:numRef>
              <c:f>インボリュート曲線!$D$39:$V$39</c:f>
              <c:numCache>
                <c:formatCode>General</c:formatCode>
                <c:ptCount val="19"/>
                <c:pt idx="0">
                  <c:v>-9.99999999999997</c:v>
                </c:pt>
                <c:pt idx="1">
                  <c:v>-26.5171059521901</c:v>
                </c:pt>
                <c:pt idx="2">
                  <c:v>-42.8254408192437</c:v>
                </c:pt>
                <c:pt idx="3">
                  <c:v>-58.4021377196827</c:v>
                </c:pt>
                <c:pt idx="4">
                  <c:v>-72.7292534755048</c:v>
                </c:pt>
                <c:pt idx="5">
                  <c:v>-85.3108628161577</c:v>
                </c:pt>
                <c:pt idx="6">
                  <c:v>-95.6899682117109</c:v>
                </c:pt>
                <c:pt idx="7">
                  <c:v>-103.464655588649</c:v>
                </c:pt>
                <c:pt idx="8">
                  <c:v>-108.302936069896</c:v>
                </c:pt>
                <c:pt idx="9">
                  <c:v>-109.955742875643</c:v>
                </c:pt>
                <c:pt idx="10">
                  <c:v>-108.267600074404</c:v>
                </c:pt>
                <c:pt idx="11">
                  <c:v>-103.184544797899</c:v>
                </c:pt>
                <c:pt idx="12">
                  <c:v>-94.758965032882</c:v>
                </c:pt>
                <c:pt idx="13">
                  <c:v>-83.1511088216529</c:v>
                </c:pt>
                <c:pt idx="14">
                  <c:v>-68.6271247931795</c:v>
                </c:pt>
                <c:pt idx="15">
                  <c:v>-51.55360515596</c:v>
                </c:pt>
                <c:pt idx="16">
                  <c:v>-32.3887170563717</c:v>
                </c:pt>
                <c:pt idx="17">
                  <c:v>-11.6701227965477</c:v>
                </c:pt>
                <c:pt idx="18">
                  <c:v>9.99999999999994</c:v>
                </c:pt>
              </c:numCache>
            </c:numRef>
          </c:xVal>
          <c:yVal>
            <c:numRef>
              <c:f>インボリュート曲線!$D$40:$V$40</c:f>
              <c:numCache>
                <c:formatCode>General</c:formatCode>
                <c:ptCount val="19"/>
                <c:pt idx="0">
                  <c:v>94.2477796076938</c:v>
                </c:pt>
                <c:pt idx="1">
                  <c:v>92.7982760640965</c:v>
                </c:pt>
                <c:pt idx="2">
                  <c:v>88.4238876274315</c:v>
                </c:pt>
                <c:pt idx="3">
                  <c:v>81.1554698011254</c:v>
                </c:pt>
                <c:pt idx="4">
                  <c:v>71.1181108475236</c:v>
                </c:pt>
                <c:pt idx="5">
                  <c:v>58.5302406311306</c:v>
                </c:pt>
                <c:pt idx="6">
                  <c:v>43.6996235219855</c:v>
                </c:pt>
                <c:pt idx="7">
                  <c:v>27.0162772081135</c:v>
                </c:pt>
                <c:pt idx="8">
                  <c:v>8.94246360020927</c:v>
                </c:pt>
                <c:pt idx="9">
                  <c:v>-9.99999999999995</c:v>
                </c:pt>
                <c:pt idx="10">
                  <c:v>-29.2447651485285</c:v>
                </c:pt>
                <c:pt idx="11">
                  <c:v>-48.1978806675019</c:v>
                </c:pt>
                <c:pt idx="12">
                  <c:v>-66.2561193536572</c:v>
                </c:pt>
                <c:pt idx="13">
                  <c:v>-82.8261376375537</c:v>
                </c:pt>
                <c:pt idx="14">
                  <c:v>-97.343860790287</c:v>
                </c:pt>
                <c:pt idx="15">
                  <c:v>-109.293463443468</c:v>
                </c:pt>
                <c:pt idx="16">
                  <c:v>-118.225312759117</c:v>
                </c:pt>
                <c:pt idx="17">
                  <c:v>-123.772260080203</c:v>
                </c:pt>
                <c:pt idx="18">
                  <c:v>-125.663706143592</c:v>
                </c:pt>
              </c:numCache>
            </c:numRef>
          </c:yVal>
          <c:smooth val="0"/>
        </c:ser>
        <c:ser>
          <c:idx val="3"/>
          <c:order val="3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xVal>
            <c:numRef>
              <c:f>インボリュート曲線!$D$44:$V$44</c:f>
              <c:numCache>
                <c:formatCode>General</c:formatCode>
                <c:ptCount val="19"/>
                <c:pt idx="0">
                  <c:v>10</c:v>
                </c:pt>
                <c:pt idx="1">
                  <c:v>9.84807753012208</c:v>
                </c:pt>
                <c:pt idx="2">
                  <c:v>9.39692620785909</c:v>
                </c:pt>
                <c:pt idx="3">
                  <c:v>8.66025403784439</c:v>
                </c:pt>
                <c:pt idx="4">
                  <c:v>7.66044443118978</c:v>
                </c:pt>
                <c:pt idx="5">
                  <c:v>6.42787609686539</c:v>
                </c:pt>
                <c:pt idx="6">
                  <c:v>5</c:v>
                </c:pt>
                <c:pt idx="7">
                  <c:v>3.42020143325669</c:v>
                </c:pt>
                <c:pt idx="8">
                  <c:v>1.7364817766693</c:v>
                </c:pt>
                <c:pt idx="9">
                  <c:v>6.1257422745431E-016</c:v>
                </c:pt>
                <c:pt idx="10">
                  <c:v>-1.7364817766693</c:v>
                </c:pt>
                <c:pt idx="11">
                  <c:v>-3.42020143325669</c:v>
                </c:pt>
                <c:pt idx="12">
                  <c:v>-5</c:v>
                </c:pt>
                <c:pt idx="13">
                  <c:v>-6.42787609686539</c:v>
                </c:pt>
                <c:pt idx="14">
                  <c:v>-7.66044443118978</c:v>
                </c:pt>
                <c:pt idx="15">
                  <c:v>-8.66025403784439</c:v>
                </c:pt>
                <c:pt idx="16">
                  <c:v>-9.39692620785908</c:v>
                </c:pt>
                <c:pt idx="17">
                  <c:v>-9.84807753012208</c:v>
                </c:pt>
                <c:pt idx="18">
                  <c:v>-10</c:v>
                </c:pt>
              </c:numCache>
            </c:numRef>
          </c:xVal>
          <c:yVal>
            <c:numRef>
              <c:f>インボリュート曲線!$D$45:$V$45</c:f>
              <c:numCache>
                <c:formatCode>General</c:formatCode>
                <c:ptCount val="19"/>
                <c:pt idx="0">
                  <c:v>0</c:v>
                </c:pt>
                <c:pt idx="1">
                  <c:v>1.7364817766693</c:v>
                </c:pt>
                <c:pt idx="2">
                  <c:v>3.42020143325669</c:v>
                </c:pt>
                <c:pt idx="3">
                  <c:v>5</c:v>
                </c:pt>
                <c:pt idx="4">
                  <c:v>6.42787609686539</c:v>
                </c:pt>
                <c:pt idx="5">
                  <c:v>7.66044443118978</c:v>
                </c:pt>
                <c:pt idx="6">
                  <c:v>8.66025403784439</c:v>
                </c:pt>
                <c:pt idx="7">
                  <c:v>9.39692620785908</c:v>
                </c:pt>
                <c:pt idx="8">
                  <c:v>9.84807753012208</c:v>
                </c:pt>
                <c:pt idx="9">
                  <c:v>10</c:v>
                </c:pt>
                <c:pt idx="10">
                  <c:v>9.84807753012208</c:v>
                </c:pt>
                <c:pt idx="11">
                  <c:v>9.39692620785909</c:v>
                </c:pt>
                <c:pt idx="12">
                  <c:v>8.66025403784439</c:v>
                </c:pt>
                <c:pt idx="13">
                  <c:v>7.66044443118978</c:v>
                </c:pt>
                <c:pt idx="14">
                  <c:v>6.4278760968654</c:v>
                </c:pt>
                <c:pt idx="15">
                  <c:v>5</c:v>
                </c:pt>
                <c:pt idx="16">
                  <c:v>3.42020143325669</c:v>
                </c:pt>
                <c:pt idx="17">
                  <c:v>1.7364817766693</c:v>
                </c:pt>
                <c:pt idx="18">
                  <c:v>1.22514845490862E-015</c:v>
                </c:pt>
              </c:numCache>
            </c:numRef>
          </c:yVal>
          <c:smooth val="0"/>
        </c:ser>
        <c:ser>
          <c:idx val="4"/>
          <c:order val="4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xVal>
            <c:numRef>
              <c:f>インボリュート曲線!$D$49:$V$49</c:f>
              <c:numCache>
                <c:formatCode>General</c:formatCode>
                <c:ptCount val="19"/>
                <c:pt idx="0">
                  <c:v>-10</c:v>
                </c:pt>
                <c:pt idx="1">
                  <c:v>-9.84807753012208</c:v>
                </c:pt>
                <c:pt idx="2">
                  <c:v>-9.39692620785909</c:v>
                </c:pt>
                <c:pt idx="3">
                  <c:v>-8.66025403784439</c:v>
                </c:pt>
                <c:pt idx="4">
                  <c:v>-7.66044443118978</c:v>
                </c:pt>
                <c:pt idx="5">
                  <c:v>-6.4278760968654</c:v>
                </c:pt>
                <c:pt idx="6">
                  <c:v>-5</c:v>
                </c:pt>
                <c:pt idx="7">
                  <c:v>-3.42020143325669</c:v>
                </c:pt>
                <c:pt idx="8">
                  <c:v>-1.7364817766693</c:v>
                </c:pt>
                <c:pt idx="9">
                  <c:v>-1.83772268236293E-015</c:v>
                </c:pt>
                <c:pt idx="10">
                  <c:v>1.7364817766693</c:v>
                </c:pt>
                <c:pt idx="11">
                  <c:v>3.42020143325669</c:v>
                </c:pt>
                <c:pt idx="12">
                  <c:v>5</c:v>
                </c:pt>
                <c:pt idx="13">
                  <c:v>6.42787609686539</c:v>
                </c:pt>
                <c:pt idx="14">
                  <c:v>7.66044443118978</c:v>
                </c:pt>
                <c:pt idx="15">
                  <c:v>8.66025403784438</c:v>
                </c:pt>
                <c:pt idx="16">
                  <c:v>9.39692620785909</c:v>
                </c:pt>
                <c:pt idx="17">
                  <c:v>9.84807753012208</c:v>
                </c:pt>
                <c:pt idx="18">
                  <c:v>10</c:v>
                </c:pt>
              </c:numCache>
            </c:numRef>
          </c:xVal>
          <c:yVal>
            <c:numRef>
              <c:f>インボリュート曲線!$D$50:$V$50</c:f>
              <c:numCache>
                <c:formatCode>General</c:formatCode>
                <c:ptCount val="19"/>
                <c:pt idx="0">
                  <c:v>1.22514845490862E-015</c:v>
                </c:pt>
                <c:pt idx="1">
                  <c:v>-1.7364817766693</c:v>
                </c:pt>
                <c:pt idx="2">
                  <c:v>-3.42020143325669</c:v>
                </c:pt>
                <c:pt idx="3">
                  <c:v>-5</c:v>
                </c:pt>
                <c:pt idx="4">
                  <c:v>-6.42787609686539</c:v>
                </c:pt>
                <c:pt idx="5">
                  <c:v>-7.66044443118978</c:v>
                </c:pt>
                <c:pt idx="6">
                  <c:v>-8.66025403784438</c:v>
                </c:pt>
                <c:pt idx="7">
                  <c:v>-9.39692620785909</c:v>
                </c:pt>
                <c:pt idx="8">
                  <c:v>-9.84807753012208</c:v>
                </c:pt>
                <c:pt idx="9">
                  <c:v>-10</c:v>
                </c:pt>
                <c:pt idx="10">
                  <c:v>-9.84807753012208</c:v>
                </c:pt>
                <c:pt idx="11">
                  <c:v>-9.39692620785908</c:v>
                </c:pt>
                <c:pt idx="12">
                  <c:v>-8.66025403784439</c:v>
                </c:pt>
                <c:pt idx="13">
                  <c:v>-7.66044443118978</c:v>
                </c:pt>
                <c:pt idx="14">
                  <c:v>-6.4278760968654</c:v>
                </c:pt>
                <c:pt idx="15">
                  <c:v>-5</c:v>
                </c:pt>
                <c:pt idx="16">
                  <c:v>-3.42020143325669</c:v>
                </c:pt>
                <c:pt idx="17">
                  <c:v>-1.7364817766693</c:v>
                </c:pt>
                <c:pt idx="18">
                  <c:v>-2.45029690981724E-015</c:v>
                </c:pt>
              </c:numCache>
            </c:numRef>
          </c:yVal>
          <c:smooth val="0"/>
        </c:ser>
        <c:ser>
          <c:idx val="5"/>
          <c:order val="5"/>
          <c:spPr>
            <a:solidFill>
              <a:srgbClr val="4472c4"/>
            </a:solidFill>
            <a:ln w="28800">
              <a:solidFill>
                <a:srgbClr val="4472c4"/>
              </a:solidFill>
              <a:round/>
            </a:ln>
          </c:spPr>
          <c:xVal>
            <c:numRef>
              <c:f>インボリュート曲線!$D$29:$V$29</c:f>
              <c:numCache>
                <c:formatCode>General</c:formatCode>
                <c:ptCount val="19"/>
                <c:pt idx="0">
                  <c:v>-10</c:v>
                </c:pt>
                <c:pt idx="1">
                  <c:v>-15.6064691668365</c:v>
                </c:pt>
                <c:pt idx="2">
                  <c:v>-21.3356814262107</c:v>
                </c:pt>
                <c:pt idx="3">
                  <c:v>-26.9862111837848</c:v>
                </c:pt>
                <c:pt idx="4">
                  <c:v>-32.3417168273092</c:v>
                </c:pt>
                <c:pt idx="5">
                  <c:v>-37.1788709196403</c:v>
                </c:pt>
                <c:pt idx="6">
                  <c:v>-41.2759872846844</c:v>
                </c:pt>
                <c:pt idx="7">
                  <c:v>-44.4220269067782</c:v>
                </c:pt>
                <c:pt idx="8">
                  <c:v>-46.4256400286677</c:v>
                </c:pt>
                <c:pt idx="9">
                  <c:v>-47.1238898038469</c:v>
                </c:pt>
                <c:pt idx="10">
                  <c:v>-46.3903040331751</c:v>
                </c:pt>
                <c:pt idx="11">
                  <c:v>-44.1419161160283</c:v>
                </c:pt>
                <c:pt idx="12">
                  <c:v>-40.3449841058554</c:v>
                </c:pt>
                <c:pt idx="13">
                  <c:v>-35.0191169251356</c:v>
                </c:pt>
                <c:pt idx="14">
                  <c:v>-28.239588144984</c:v>
                </c:pt>
                <c:pt idx="15">
                  <c:v>-20.1376786200621</c:v>
                </c:pt>
                <c:pt idx="16">
                  <c:v>-10.8989576633387</c:v>
                </c:pt>
                <c:pt idx="17">
                  <c:v>-0.759486011193992</c:v>
                </c:pt>
                <c:pt idx="18">
                  <c:v>9.99999999999998</c:v>
                </c:pt>
              </c:numCache>
            </c:numRef>
          </c:xVal>
          <c:yVal>
            <c:numRef>
              <c:f>インボリュート曲線!$D$30:$V$30</c:f>
              <c:numCache>
                <c:formatCode>General</c:formatCode>
                <c:ptCount val="19"/>
                <c:pt idx="0">
                  <c:v>31.4159265358979</c:v>
                </c:pt>
                <c:pt idx="1">
                  <c:v>30.920980022868</c:v>
                </c:pt>
                <c:pt idx="2">
                  <c:v>29.3812589455605</c:v>
                </c:pt>
                <c:pt idx="3">
                  <c:v>26.7414888740988</c:v>
                </c:pt>
                <c:pt idx="4">
                  <c:v>22.9861189510063</c:v>
                </c:pt>
                <c:pt idx="5">
                  <c:v>18.1427039829351</c:v>
                </c:pt>
                <c:pt idx="6">
                  <c:v>12.2836969860876</c:v>
                </c:pt>
                <c:pt idx="7">
                  <c:v>5.52651781508048</c:v>
                </c:pt>
                <c:pt idx="8">
                  <c:v>-1.96817318514443</c:v>
                </c:pt>
                <c:pt idx="9">
                  <c:v>-9.99999999999999</c:v>
                </c:pt>
                <c:pt idx="10">
                  <c:v>-18.3341283631749</c:v>
                </c:pt>
                <c:pt idx="11">
                  <c:v>-26.708121274469</c:v>
                </c:pt>
                <c:pt idx="12">
                  <c:v>-34.8401928177593</c:v>
                </c:pt>
                <c:pt idx="13">
                  <c:v>-42.4386009893581</c:v>
                </c:pt>
                <c:pt idx="14">
                  <c:v>-49.2118688937697</c:v>
                </c:pt>
                <c:pt idx="15">
                  <c:v>-54.879482516441</c:v>
                </c:pt>
                <c:pt idx="16">
                  <c:v>-59.182684077246</c:v>
                </c:pt>
                <c:pt idx="17">
                  <c:v>-61.8949640389748</c:v>
                </c:pt>
                <c:pt idx="18">
                  <c:v>-62.8318530717959</c:v>
                </c:pt>
              </c:numCache>
            </c:numRef>
          </c:yVal>
          <c:smooth val="0"/>
        </c:ser>
        <c:ser>
          <c:idx val="6"/>
          <c:order val="6"/>
          <c:spPr>
            <a:solidFill>
              <a:srgbClr val="98b8df"/>
            </a:solidFill>
            <a:ln w="19080">
              <a:solidFill>
                <a:srgbClr val="98b8df"/>
              </a:solidFill>
              <a:round/>
            </a:ln>
          </c:spPr>
          <c:xVal>
            <c:numRef>
              <c:f>インボリュート曲線!$B$6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インボリュート曲線!$C$6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axId val="55757518"/>
        <c:axId val="26333731"/>
      </c:scatterChart>
      <c:valAx>
        <c:axId val="5575751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26333731"/>
        <c:crosses val="autoZero"/>
      </c:valAx>
      <c:valAx>
        <c:axId val="26333731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55757518"/>
        <c:crosses val="autoZero"/>
      </c:valAx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spPr>
            <a:solidFill>
              <a:srgbClr val="4472c4"/>
            </a:solidFill>
            <a:ln w="28800">
              <a:solidFill>
                <a:srgbClr val="4472c4"/>
              </a:solidFill>
              <a:round/>
            </a:ln>
          </c:spPr>
          <c:xVal>
            <c:numRef>
              <c:f>トロコイド!$D$25:$V$25</c:f>
              <c:numCache>
                <c:formatCode>General</c:formatCode>
                <c:ptCount val="19"/>
                <c:pt idx="0">
                  <c:v>0</c:v>
                </c:pt>
                <c:pt idx="1">
                  <c:v>-0.859393413009625</c:v>
                </c:pt>
                <c:pt idx="2">
                  <c:v>-1.63964364589637</c:v>
                </c:pt>
                <c:pt idx="3">
                  <c:v>-2.26401224401701</c:v>
                </c:pt>
                <c:pt idx="4">
                  <c:v>-2.66049713732077</c:v>
                </c:pt>
                <c:pt idx="5">
                  <c:v>-2.76402038681302</c:v>
                </c:pt>
                <c:pt idx="6">
                  <c:v>-2.5184055448006</c:v>
                </c:pt>
                <c:pt idx="7">
                  <c:v>-1.87808454782832</c:v>
                </c:pt>
                <c:pt idx="8">
                  <c:v>-0.809482279228485</c:v>
                </c:pt>
                <c:pt idx="9">
                  <c:v>0.707963267948966</c:v>
                </c:pt>
                <c:pt idx="10">
                  <c:v>2.68117622476018</c:v>
                </c:pt>
                <c:pt idx="11">
                  <c:v>5.103232460149</c:v>
                </c:pt>
                <c:pt idx="12">
                  <c:v>7.95356996716537</c:v>
                </c:pt>
                <c:pt idx="13">
                  <c:v>11.1986136291416</c:v>
                </c:pt>
                <c:pt idx="14">
                  <c:v>14.7927953826225</c:v>
                </c:pt>
                <c:pt idx="15">
                  <c:v>18.6799387799149</c:v>
                </c:pt>
                <c:pt idx="16">
                  <c:v>22.7949658820242</c:v>
                </c:pt>
                <c:pt idx="17">
                  <c:v>27.0658746188996</c:v>
                </c:pt>
                <c:pt idx="18">
                  <c:v>31.4159265358979</c:v>
                </c:pt>
              </c:numCache>
            </c:numRef>
          </c:xVal>
          <c:yVal>
            <c:numRef>
              <c:f>トロコイド!$D$26:$V$26</c:f>
              <c:numCache>
                <c:formatCode>General</c:formatCode>
                <c:ptCount val="19"/>
                <c:pt idx="0">
                  <c:v>-5</c:v>
                </c:pt>
                <c:pt idx="1">
                  <c:v>-4.77211629518312</c:v>
                </c:pt>
                <c:pt idx="2">
                  <c:v>-4.09538931178863</c:v>
                </c:pt>
                <c:pt idx="3">
                  <c:v>-2.99038105676658</c:v>
                </c:pt>
                <c:pt idx="4">
                  <c:v>-1.49066664678467</c:v>
                </c:pt>
                <c:pt idx="5">
                  <c:v>0.35818585470191</c:v>
                </c:pt>
                <c:pt idx="6">
                  <c:v>2.5</c:v>
                </c:pt>
                <c:pt idx="7">
                  <c:v>4.86969785011497</c:v>
                </c:pt>
                <c:pt idx="8">
                  <c:v>7.39527733499604</c:v>
                </c:pt>
                <c:pt idx="9">
                  <c:v>10</c:v>
                </c:pt>
                <c:pt idx="10">
                  <c:v>12.604722665004</c:v>
                </c:pt>
                <c:pt idx="11">
                  <c:v>15.130302149885</c:v>
                </c:pt>
                <c:pt idx="12">
                  <c:v>17.5</c:v>
                </c:pt>
                <c:pt idx="13">
                  <c:v>19.6418141452981</c:v>
                </c:pt>
                <c:pt idx="14">
                  <c:v>21.4906666467847</c:v>
                </c:pt>
                <c:pt idx="15">
                  <c:v>22.9903810567666</c:v>
                </c:pt>
                <c:pt idx="16">
                  <c:v>24.0953893117886</c:v>
                </c:pt>
                <c:pt idx="17">
                  <c:v>24.7721162951831</c:v>
                </c:pt>
                <c:pt idx="18">
                  <c:v>25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4472c4"/>
            </a:solidFill>
            <a:ln w="28800">
              <a:solidFill>
                <a:srgbClr val="4472c4"/>
              </a:solidFill>
              <a:custDash/>
              <a:round/>
            </a:ln>
          </c:spPr>
          <c:xVal>
            <c:numRef>
              <c:f>トロコイド!$D$35:$V$35</c:f>
              <c:numCache>
                <c:formatCode>General</c:formatCode>
                <c:ptCount val="19"/>
                <c:pt idx="0">
                  <c:v>62.8318530717959</c:v>
                </c:pt>
                <c:pt idx="1">
                  <c:v>61.9724596587863</c:v>
                </c:pt>
                <c:pt idx="2">
                  <c:v>61.1922094258995</c:v>
                </c:pt>
                <c:pt idx="3">
                  <c:v>60.5678408277789</c:v>
                </c:pt>
                <c:pt idx="4">
                  <c:v>60.1713559344751</c:v>
                </c:pt>
                <c:pt idx="5">
                  <c:v>60.0678326849828</c:v>
                </c:pt>
                <c:pt idx="6">
                  <c:v>60.3134475269953</c:v>
                </c:pt>
                <c:pt idx="7">
                  <c:v>60.9537685239676</c:v>
                </c:pt>
                <c:pt idx="8">
                  <c:v>62.0223707925674</c:v>
                </c:pt>
                <c:pt idx="9">
                  <c:v>63.5398163397448</c:v>
                </c:pt>
                <c:pt idx="10">
                  <c:v>65.513029296556</c:v>
                </c:pt>
                <c:pt idx="11">
                  <c:v>67.9350855319449</c:v>
                </c:pt>
                <c:pt idx="12">
                  <c:v>70.7854230389612</c:v>
                </c:pt>
                <c:pt idx="13">
                  <c:v>74.0304667009375</c:v>
                </c:pt>
                <c:pt idx="14">
                  <c:v>77.6246484544184</c:v>
                </c:pt>
                <c:pt idx="15">
                  <c:v>81.5117918517108</c:v>
                </c:pt>
                <c:pt idx="16">
                  <c:v>85.6268189538201</c:v>
                </c:pt>
                <c:pt idx="17">
                  <c:v>89.8977276906955</c:v>
                </c:pt>
                <c:pt idx="18">
                  <c:v>94.2477796076938</c:v>
                </c:pt>
              </c:numCache>
            </c:numRef>
          </c:xVal>
          <c:yVal>
            <c:numRef>
              <c:f>トロコイド!$D$36:$V$36</c:f>
              <c:numCache>
                <c:formatCode>General</c:formatCode>
                <c:ptCount val="19"/>
                <c:pt idx="0">
                  <c:v>-5</c:v>
                </c:pt>
                <c:pt idx="1">
                  <c:v>-4.77211629518312</c:v>
                </c:pt>
                <c:pt idx="2">
                  <c:v>-4.09538931178862</c:v>
                </c:pt>
                <c:pt idx="3">
                  <c:v>-2.99038105676658</c:v>
                </c:pt>
                <c:pt idx="4">
                  <c:v>-1.49066664678464</c:v>
                </c:pt>
                <c:pt idx="5">
                  <c:v>0.358185854701906</c:v>
                </c:pt>
                <c:pt idx="6">
                  <c:v>2.5</c:v>
                </c:pt>
                <c:pt idx="7">
                  <c:v>4.86969785011497</c:v>
                </c:pt>
                <c:pt idx="8">
                  <c:v>7.39527733499604</c:v>
                </c:pt>
                <c:pt idx="9">
                  <c:v>10</c:v>
                </c:pt>
                <c:pt idx="10">
                  <c:v>12.6047226650039</c:v>
                </c:pt>
                <c:pt idx="11">
                  <c:v>15.130302149885</c:v>
                </c:pt>
                <c:pt idx="12">
                  <c:v>17.5</c:v>
                </c:pt>
                <c:pt idx="13">
                  <c:v>19.6418141452981</c:v>
                </c:pt>
                <c:pt idx="14">
                  <c:v>21.4906666467847</c:v>
                </c:pt>
                <c:pt idx="15">
                  <c:v>22.9903810567666</c:v>
                </c:pt>
                <c:pt idx="16">
                  <c:v>24.0953893117886</c:v>
                </c:pt>
                <c:pt idx="17">
                  <c:v>24.7721162951831</c:v>
                </c:pt>
                <c:pt idx="18">
                  <c:v>25</c:v>
                </c:pt>
              </c:numCache>
            </c:numRef>
          </c:yVal>
          <c:smooth val="0"/>
        </c:ser>
        <c:ser>
          <c:idx val="2"/>
          <c:order val="2"/>
          <c:spPr>
            <a:solidFill>
              <a:srgbClr val="4472c4"/>
            </a:solidFill>
            <a:ln w="28800">
              <a:solidFill>
                <a:srgbClr val="4472c4"/>
              </a:solidFill>
              <a:custDash/>
              <a:round/>
            </a:ln>
          </c:spPr>
          <c:xVal>
            <c:numRef>
              <c:f>トロコイド!$D$40:$V$40</c:f>
              <c:numCache>
                <c:formatCode>General</c:formatCode>
                <c:ptCount val="19"/>
                <c:pt idx="0">
                  <c:v>94.2477796076938</c:v>
                </c:pt>
                <c:pt idx="1">
                  <c:v>98.5978315246921</c:v>
                </c:pt>
                <c:pt idx="2">
                  <c:v>102.868740261567</c:v>
                </c:pt>
                <c:pt idx="3">
                  <c:v>106.983767363677</c:v>
                </c:pt>
                <c:pt idx="4">
                  <c:v>110.870910760969</c:v>
                </c:pt>
                <c:pt idx="5">
                  <c:v>114.46509251445</c:v>
                </c:pt>
                <c:pt idx="6">
                  <c:v>117.710136176426</c:v>
                </c:pt>
                <c:pt idx="7">
                  <c:v>120.560473683443</c:v>
                </c:pt>
                <c:pt idx="8">
                  <c:v>122.982529918832</c:v>
                </c:pt>
                <c:pt idx="9">
                  <c:v>124.955742875643</c:v>
                </c:pt>
                <c:pt idx="10">
                  <c:v>126.47318842282</c:v>
                </c:pt>
                <c:pt idx="11">
                  <c:v>127.54179069142</c:v>
                </c:pt>
                <c:pt idx="12">
                  <c:v>128.182111688392</c:v>
                </c:pt>
                <c:pt idx="13">
                  <c:v>128.427726530405</c:v>
                </c:pt>
                <c:pt idx="14">
                  <c:v>128.324203280913</c:v>
                </c:pt>
                <c:pt idx="15">
                  <c:v>127.927718387609</c:v>
                </c:pt>
                <c:pt idx="16">
                  <c:v>127.303349789488</c:v>
                </c:pt>
                <c:pt idx="17">
                  <c:v>126.523099556601</c:v>
                </c:pt>
                <c:pt idx="18">
                  <c:v>125.663706143592</c:v>
                </c:pt>
              </c:numCache>
            </c:numRef>
          </c:xVal>
          <c:yVal>
            <c:numRef>
              <c:f>トロコイド!$D$41:$V$41</c:f>
              <c:numCache>
                <c:formatCode>General</c:formatCode>
                <c:ptCount val="19"/>
                <c:pt idx="0">
                  <c:v>25</c:v>
                </c:pt>
                <c:pt idx="1">
                  <c:v>24.7721162951831</c:v>
                </c:pt>
                <c:pt idx="2">
                  <c:v>24.0953893117886</c:v>
                </c:pt>
                <c:pt idx="3">
                  <c:v>22.9903810567666</c:v>
                </c:pt>
                <c:pt idx="4">
                  <c:v>21.4906666467847</c:v>
                </c:pt>
                <c:pt idx="5">
                  <c:v>19.6418141452981</c:v>
                </c:pt>
                <c:pt idx="6">
                  <c:v>17.5</c:v>
                </c:pt>
                <c:pt idx="7">
                  <c:v>15.130302149885</c:v>
                </c:pt>
                <c:pt idx="8">
                  <c:v>12.604722665004</c:v>
                </c:pt>
                <c:pt idx="9">
                  <c:v>10</c:v>
                </c:pt>
                <c:pt idx="10">
                  <c:v>7.39527733499605</c:v>
                </c:pt>
                <c:pt idx="11">
                  <c:v>4.86969785011498</c:v>
                </c:pt>
                <c:pt idx="12">
                  <c:v>2.50000000000001</c:v>
                </c:pt>
                <c:pt idx="13">
                  <c:v>0.358185854701905</c:v>
                </c:pt>
                <c:pt idx="14">
                  <c:v>-1.49066664678467</c:v>
                </c:pt>
                <c:pt idx="15">
                  <c:v>-2.99038105676658</c:v>
                </c:pt>
                <c:pt idx="16">
                  <c:v>-4.09538931178862</c:v>
                </c:pt>
                <c:pt idx="17">
                  <c:v>-4.77211629518312</c:v>
                </c:pt>
                <c:pt idx="18">
                  <c:v>-5</c:v>
                </c:pt>
              </c:numCache>
            </c:numRef>
          </c:yVal>
          <c:smooth val="0"/>
        </c:ser>
        <c:ser>
          <c:idx val="3"/>
          <c:order val="3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xVal>
            <c:numRef>
              <c:f>トロコイド!$D$45:$V$45</c:f>
              <c:numCache>
                <c:formatCode>General</c:formatCode>
                <c:ptCount val="19"/>
                <c:pt idx="0">
                  <c:v>10</c:v>
                </c:pt>
                <c:pt idx="1">
                  <c:v>9.84807753012208</c:v>
                </c:pt>
                <c:pt idx="2">
                  <c:v>9.39692620785909</c:v>
                </c:pt>
                <c:pt idx="3">
                  <c:v>8.66025403784439</c:v>
                </c:pt>
                <c:pt idx="4">
                  <c:v>7.66044443118978</c:v>
                </c:pt>
                <c:pt idx="5">
                  <c:v>6.42787609686539</c:v>
                </c:pt>
                <c:pt idx="6">
                  <c:v>5</c:v>
                </c:pt>
                <c:pt idx="7">
                  <c:v>3.42020143325669</c:v>
                </c:pt>
                <c:pt idx="8">
                  <c:v>1.7364817766693</c:v>
                </c:pt>
                <c:pt idx="9">
                  <c:v>6.1257422745431E-016</c:v>
                </c:pt>
                <c:pt idx="10">
                  <c:v>-1.7364817766693</c:v>
                </c:pt>
                <c:pt idx="11">
                  <c:v>-3.42020143325669</c:v>
                </c:pt>
                <c:pt idx="12">
                  <c:v>-5</c:v>
                </c:pt>
                <c:pt idx="13">
                  <c:v>-6.42787609686539</c:v>
                </c:pt>
                <c:pt idx="14">
                  <c:v>-7.66044443118978</c:v>
                </c:pt>
                <c:pt idx="15">
                  <c:v>-8.66025403784439</c:v>
                </c:pt>
                <c:pt idx="16">
                  <c:v>-9.39692620785908</c:v>
                </c:pt>
                <c:pt idx="17">
                  <c:v>-9.84807753012208</c:v>
                </c:pt>
                <c:pt idx="18">
                  <c:v>-10</c:v>
                </c:pt>
              </c:numCache>
            </c:numRef>
          </c:xVal>
          <c:yVal>
            <c:numRef>
              <c:f>トロコイド!$D$46:$V$46</c:f>
              <c:numCache>
                <c:formatCode>General</c:formatCode>
                <c:ptCount val="19"/>
                <c:pt idx="0">
                  <c:v>10</c:v>
                </c:pt>
                <c:pt idx="1">
                  <c:v>11.7364817766693</c:v>
                </c:pt>
                <c:pt idx="2">
                  <c:v>13.4202014332567</c:v>
                </c:pt>
                <c:pt idx="3">
                  <c:v>15</c:v>
                </c:pt>
                <c:pt idx="4">
                  <c:v>16.4278760968654</c:v>
                </c:pt>
                <c:pt idx="5">
                  <c:v>17.6604444311898</c:v>
                </c:pt>
                <c:pt idx="6">
                  <c:v>18.6602540378444</c:v>
                </c:pt>
                <c:pt idx="7">
                  <c:v>19.3969262078591</c:v>
                </c:pt>
                <c:pt idx="8">
                  <c:v>19.8480775301221</c:v>
                </c:pt>
                <c:pt idx="9">
                  <c:v>20</c:v>
                </c:pt>
                <c:pt idx="10">
                  <c:v>19.8480775301221</c:v>
                </c:pt>
                <c:pt idx="11">
                  <c:v>19.3969262078591</c:v>
                </c:pt>
                <c:pt idx="12">
                  <c:v>18.6602540378444</c:v>
                </c:pt>
                <c:pt idx="13">
                  <c:v>17.6604444311898</c:v>
                </c:pt>
                <c:pt idx="14">
                  <c:v>16.4278760968654</c:v>
                </c:pt>
                <c:pt idx="15">
                  <c:v>15</c:v>
                </c:pt>
                <c:pt idx="16">
                  <c:v>13.4202014332567</c:v>
                </c:pt>
                <c:pt idx="17">
                  <c:v>11.7364817766693</c:v>
                </c:pt>
                <c:pt idx="18">
                  <c:v>10</c:v>
                </c:pt>
              </c:numCache>
            </c:numRef>
          </c:yVal>
          <c:smooth val="0"/>
        </c:ser>
        <c:ser>
          <c:idx val="4"/>
          <c:order val="4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xVal>
            <c:numRef>
              <c:f>トロコイド!$D$50:$V$50</c:f>
              <c:numCache>
                <c:formatCode>General</c:formatCode>
                <c:ptCount val="19"/>
                <c:pt idx="0">
                  <c:v>-10</c:v>
                </c:pt>
                <c:pt idx="1">
                  <c:v>-9.84807753012208</c:v>
                </c:pt>
                <c:pt idx="2">
                  <c:v>-9.39692620785909</c:v>
                </c:pt>
                <c:pt idx="3">
                  <c:v>-8.66025403784439</c:v>
                </c:pt>
                <c:pt idx="4">
                  <c:v>-7.66044443118978</c:v>
                </c:pt>
                <c:pt idx="5">
                  <c:v>-6.4278760968654</c:v>
                </c:pt>
                <c:pt idx="6">
                  <c:v>-5</c:v>
                </c:pt>
                <c:pt idx="7">
                  <c:v>-3.42020143325669</c:v>
                </c:pt>
                <c:pt idx="8">
                  <c:v>-1.7364817766693</c:v>
                </c:pt>
                <c:pt idx="9">
                  <c:v>-1.83772268236293E-015</c:v>
                </c:pt>
                <c:pt idx="10">
                  <c:v>1.7364817766693</c:v>
                </c:pt>
                <c:pt idx="11">
                  <c:v>3.42020143325669</c:v>
                </c:pt>
                <c:pt idx="12">
                  <c:v>5</c:v>
                </c:pt>
                <c:pt idx="13">
                  <c:v>6.42787609686539</c:v>
                </c:pt>
                <c:pt idx="14">
                  <c:v>7.66044443118978</c:v>
                </c:pt>
                <c:pt idx="15">
                  <c:v>8.66025403784438</c:v>
                </c:pt>
                <c:pt idx="16">
                  <c:v>9.39692620785909</c:v>
                </c:pt>
                <c:pt idx="17">
                  <c:v>9.84807753012208</c:v>
                </c:pt>
                <c:pt idx="18">
                  <c:v>10</c:v>
                </c:pt>
              </c:numCache>
            </c:numRef>
          </c:xVal>
          <c:yVal>
            <c:numRef>
              <c:f>トロコイド!$D$51:$V$51</c:f>
              <c:numCache>
                <c:formatCode>General</c:formatCode>
                <c:ptCount val="19"/>
                <c:pt idx="0">
                  <c:v>10</c:v>
                </c:pt>
                <c:pt idx="1">
                  <c:v>8.2635182233307</c:v>
                </c:pt>
                <c:pt idx="2">
                  <c:v>6.57979856674331</c:v>
                </c:pt>
                <c:pt idx="3">
                  <c:v>5</c:v>
                </c:pt>
                <c:pt idx="4">
                  <c:v>3.57212390313461</c:v>
                </c:pt>
                <c:pt idx="5">
                  <c:v>2.33955556881022</c:v>
                </c:pt>
                <c:pt idx="6">
                  <c:v>1.33974596215562</c:v>
                </c:pt>
                <c:pt idx="7">
                  <c:v>0.603073792140915</c:v>
                </c:pt>
                <c:pt idx="8">
                  <c:v>0.15192246987792</c:v>
                </c:pt>
                <c:pt idx="9">
                  <c:v>0</c:v>
                </c:pt>
                <c:pt idx="10">
                  <c:v>0.151922469877919</c:v>
                </c:pt>
                <c:pt idx="11">
                  <c:v>0.603073792140917</c:v>
                </c:pt>
                <c:pt idx="12">
                  <c:v>1.33974596215561</c:v>
                </c:pt>
                <c:pt idx="13">
                  <c:v>2.33955556881022</c:v>
                </c:pt>
                <c:pt idx="14">
                  <c:v>3.5721239031346</c:v>
                </c:pt>
                <c:pt idx="15">
                  <c:v>5</c:v>
                </c:pt>
                <c:pt idx="16">
                  <c:v>6.57979856674331</c:v>
                </c:pt>
                <c:pt idx="17">
                  <c:v>8.2635182233307</c:v>
                </c:pt>
                <c:pt idx="18">
                  <c:v>10</c:v>
                </c:pt>
              </c:numCache>
            </c:numRef>
          </c:yVal>
          <c:smooth val="0"/>
        </c:ser>
        <c:ser>
          <c:idx val="5"/>
          <c:order val="5"/>
          <c:spPr>
            <a:solidFill>
              <a:srgbClr val="4472c4"/>
            </a:solidFill>
            <a:ln w="28800">
              <a:solidFill>
                <a:srgbClr val="4472c4"/>
              </a:solidFill>
              <a:round/>
            </a:ln>
          </c:spPr>
          <c:xVal>
            <c:numRef>
              <c:f>トロコイド!$D$30:$V$30</c:f>
              <c:numCache>
                <c:formatCode>General</c:formatCode>
                <c:ptCount val="19"/>
                <c:pt idx="0">
                  <c:v>31.4159265358979</c:v>
                </c:pt>
                <c:pt idx="1">
                  <c:v>35.7659784528962</c:v>
                </c:pt>
                <c:pt idx="2">
                  <c:v>40.0368871897716</c:v>
                </c:pt>
                <c:pt idx="3">
                  <c:v>44.1519142918809</c:v>
                </c:pt>
                <c:pt idx="4">
                  <c:v>48.0390576891733</c:v>
                </c:pt>
                <c:pt idx="5">
                  <c:v>51.6332394426542</c:v>
                </c:pt>
                <c:pt idx="6">
                  <c:v>54.8782831046305</c:v>
                </c:pt>
                <c:pt idx="7">
                  <c:v>57.7286206116469</c:v>
                </c:pt>
                <c:pt idx="8">
                  <c:v>60.1506768470357</c:v>
                </c:pt>
                <c:pt idx="9">
                  <c:v>62.1238898038469</c:v>
                </c:pt>
                <c:pt idx="10">
                  <c:v>63.6413353510244</c:v>
                </c:pt>
                <c:pt idx="11">
                  <c:v>64.7099376196242</c:v>
                </c:pt>
                <c:pt idx="12">
                  <c:v>65.3502586165965</c:v>
                </c:pt>
                <c:pt idx="13">
                  <c:v>65.5958734586089</c:v>
                </c:pt>
                <c:pt idx="14">
                  <c:v>65.4923502091166</c:v>
                </c:pt>
                <c:pt idx="15">
                  <c:v>65.0958653158129</c:v>
                </c:pt>
                <c:pt idx="16">
                  <c:v>64.4714967176922</c:v>
                </c:pt>
                <c:pt idx="17">
                  <c:v>63.6912464848055</c:v>
                </c:pt>
                <c:pt idx="18">
                  <c:v>62.8318530717959</c:v>
                </c:pt>
              </c:numCache>
            </c:numRef>
          </c:xVal>
          <c:yVal>
            <c:numRef>
              <c:f>トロコイド!$D$31:$V$31</c:f>
              <c:numCache>
                <c:formatCode>General</c:formatCode>
                <c:ptCount val="19"/>
                <c:pt idx="0">
                  <c:v>25</c:v>
                </c:pt>
                <c:pt idx="1">
                  <c:v>24.7721162951831</c:v>
                </c:pt>
                <c:pt idx="2">
                  <c:v>24.0953893117886</c:v>
                </c:pt>
                <c:pt idx="3">
                  <c:v>22.9903810567666</c:v>
                </c:pt>
                <c:pt idx="4">
                  <c:v>21.4906666467847</c:v>
                </c:pt>
                <c:pt idx="5">
                  <c:v>19.6418141452981</c:v>
                </c:pt>
                <c:pt idx="6">
                  <c:v>17.5</c:v>
                </c:pt>
                <c:pt idx="7">
                  <c:v>15.130302149885</c:v>
                </c:pt>
                <c:pt idx="8">
                  <c:v>12.604722665004</c:v>
                </c:pt>
                <c:pt idx="9">
                  <c:v>10</c:v>
                </c:pt>
                <c:pt idx="10">
                  <c:v>7.39527733499605</c:v>
                </c:pt>
                <c:pt idx="11">
                  <c:v>4.86969785011497</c:v>
                </c:pt>
                <c:pt idx="12">
                  <c:v>2.5</c:v>
                </c:pt>
                <c:pt idx="13">
                  <c:v>0.358185854701912</c:v>
                </c:pt>
                <c:pt idx="14">
                  <c:v>-1.49066664678467</c:v>
                </c:pt>
                <c:pt idx="15">
                  <c:v>-2.99038105676658</c:v>
                </c:pt>
                <c:pt idx="16">
                  <c:v>-4.09538931178863</c:v>
                </c:pt>
                <c:pt idx="17">
                  <c:v>-4.77211629518312</c:v>
                </c:pt>
                <c:pt idx="18">
                  <c:v>-5</c:v>
                </c:pt>
              </c:numCache>
            </c:numRef>
          </c:yVal>
          <c:smooth val="0"/>
        </c:ser>
        <c:axId val="32467870"/>
        <c:axId val="31250344"/>
      </c:scatterChart>
      <c:valAx>
        <c:axId val="3246787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31250344"/>
        <c:crosses val="autoZero"/>
      </c:valAx>
      <c:valAx>
        <c:axId val="31250344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32467870"/>
        <c:crosses val="autoZero"/>
      </c:valAx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spPr>
            <a:solidFill>
              <a:srgbClr val="4472c4"/>
            </a:solidFill>
            <a:ln w="28800">
              <a:solidFill>
                <a:srgbClr val="4472c4"/>
              </a:solidFill>
              <a:round/>
            </a:ln>
          </c:spPr>
          <c:xVal>
            <c:numRef>
              <c:f>外トロコイド!$D$25:$V$25</c:f>
              <c:numCache>
                <c:formatCode>General</c:formatCode>
                <c:ptCount val="19"/>
                <c:pt idx="0">
                  <c:v>20</c:v>
                </c:pt>
                <c:pt idx="1">
                  <c:v>21.0214007300299</c:v>
                </c:pt>
                <c:pt idx="2">
                  <c:v>23.5752322354001</c:v>
                </c:pt>
                <c:pt idx="3">
                  <c:v>26.3192636667844</c:v>
                </c:pt>
                <c:pt idx="4">
                  <c:v>27.5775999522832</c:v>
                </c:pt>
                <c:pt idx="5">
                  <c:v>25.9676106559571</c:v>
                </c:pt>
                <c:pt idx="6">
                  <c:v>20.9282032302755</c:v>
                </c:pt>
                <c:pt idx="7">
                  <c:v>12.9575101070443</c:v>
                </c:pt>
                <c:pt idx="8">
                  <c:v>3.47296355333861</c:v>
                </c:pt>
                <c:pt idx="9">
                  <c:v>-5.65685424949238</c:v>
                </c:pt>
                <c:pt idx="10">
                  <c:v>-12.7406109987717</c:v>
                </c:pt>
                <c:pt idx="11">
                  <c:v>-16.8270263094119</c:v>
                </c:pt>
                <c:pt idx="12">
                  <c:v>-18</c:v>
                </c:pt>
                <c:pt idx="13">
                  <c:v>-17.3008071292418</c:v>
                </c:pt>
                <c:pt idx="14">
                  <c:v>-16.3069435298391</c:v>
                </c:pt>
                <c:pt idx="15">
                  <c:v>-16.5213046956517</c:v>
                </c:pt>
                <c:pt idx="16">
                  <c:v>-18.7938524157182</c:v>
                </c:pt>
                <c:pt idx="17">
                  <c:v>-22.9860055935335</c:v>
                </c:pt>
                <c:pt idx="18">
                  <c:v>-28</c:v>
                </c:pt>
              </c:numCache>
            </c:numRef>
          </c:xVal>
          <c:yVal>
            <c:numRef>
              <c:f>外トロコイド!$D$26:$V$26</c:f>
              <c:numCache>
                <c:formatCode>General</c:formatCode>
                <c:ptCount val="19"/>
                <c:pt idx="0">
                  <c:v>0</c:v>
                </c:pt>
                <c:pt idx="1">
                  <c:v>0.273537483865681</c:v>
                </c:pt>
                <c:pt idx="2">
                  <c:v>2.05902304683146</c:v>
                </c:pt>
                <c:pt idx="3">
                  <c:v>6.27259338968745</c:v>
                </c:pt>
                <c:pt idx="4">
                  <c:v>12.8557521937308</c:v>
                </c:pt>
                <c:pt idx="5">
                  <c:v>20.7519984653501</c:v>
                </c:pt>
                <c:pt idx="6">
                  <c:v>28.2487113059643</c:v>
                </c:pt>
                <c:pt idx="7">
                  <c:v>33.5618556782986</c:v>
                </c:pt>
                <c:pt idx="8">
                  <c:v>35.4530791084395</c:v>
                </c:pt>
                <c:pt idx="9">
                  <c:v>33.6568542494924</c:v>
                </c:pt>
                <c:pt idx="10">
                  <c:v>28.9638025056773</c:v>
                </c:pt>
                <c:pt idx="11">
                  <c:v>22.9304472880798</c:v>
                </c:pt>
                <c:pt idx="12">
                  <c:v>17.3205080756888</c:v>
                </c:pt>
                <c:pt idx="13">
                  <c:v>13.4796868225974</c:v>
                </c:pt>
                <c:pt idx="14">
                  <c:v>11.8696975262713</c:v>
                </c:pt>
                <c:pt idx="15">
                  <c:v>11.9294476391798</c:v>
                </c:pt>
                <c:pt idx="16">
                  <c:v>12.3127251597241</c:v>
                </c:pt>
                <c:pt idx="17">
                  <c:v>11.415365328986</c:v>
                </c:pt>
                <c:pt idx="18">
                  <c:v>8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xVal>
            <c:numRef>
              <c:f>外トロコイド!$D$55:$V$55</c:f>
              <c:numCache>
                <c:formatCode>General</c:formatCode>
                <c:ptCount val="19"/>
                <c:pt idx="0">
                  <c:v>36</c:v>
                </c:pt>
                <c:pt idx="1">
                  <c:v>35.8784620240977</c:v>
                </c:pt>
                <c:pt idx="2">
                  <c:v>35.5175409662873</c:v>
                </c:pt>
                <c:pt idx="3">
                  <c:v>34.9282032302755</c:v>
                </c:pt>
                <c:pt idx="4">
                  <c:v>34.1283555449518</c:v>
                </c:pt>
                <c:pt idx="5">
                  <c:v>33.1423008774923</c:v>
                </c:pt>
                <c:pt idx="6">
                  <c:v>32</c:v>
                </c:pt>
                <c:pt idx="7">
                  <c:v>30.7361611466054</c:v>
                </c:pt>
                <c:pt idx="8">
                  <c:v>29.3891854213354</c:v>
                </c:pt>
                <c:pt idx="9">
                  <c:v>28</c:v>
                </c:pt>
                <c:pt idx="10">
                  <c:v>26.6108145786646</c:v>
                </c:pt>
                <c:pt idx="11">
                  <c:v>25.2638388533946</c:v>
                </c:pt>
                <c:pt idx="12">
                  <c:v>24</c:v>
                </c:pt>
                <c:pt idx="13">
                  <c:v>22.8576991225077</c:v>
                </c:pt>
                <c:pt idx="14">
                  <c:v>21.8716444550482</c:v>
                </c:pt>
                <c:pt idx="15">
                  <c:v>21.0717967697245</c:v>
                </c:pt>
                <c:pt idx="16">
                  <c:v>20.4824590337127</c:v>
                </c:pt>
                <c:pt idx="17">
                  <c:v>20.1215379759023</c:v>
                </c:pt>
                <c:pt idx="18">
                  <c:v>20</c:v>
                </c:pt>
              </c:numCache>
            </c:numRef>
          </c:xVal>
          <c:yVal>
            <c:numRef>
              <c:f>外トロコイド!$D$56:$V$56</c:f>
              <c:numCache>
                <c:formatCode>General</c:formatCode>
                <c:ptCount val="19"/>
                <c:pt idx="0">
                  <c:v>0</c:v>
                </c:pt>
                <c:pt idx="1">
                  <c:v>1.38918542133544</c:v>
                </c:pt>
                <c:pt idx="2">
                  <c:v>2.73616114660535</c:v>
                </c:pt>
                <c:pt idx="3">
                  <c:v>4</c:v>
                </c:pt>
                <c:pt idx="4">
                  <c:v>5.14230087749231</c:v>
                </c:pt>
                <c:pt idx="5">
                  <c:v>6.12835554495182</c:v>
                </c:pt>
                <c:pt idx="6">
                  <c:v>6.92820323027551</c:v>
                </c:pt>
                <c:pt idx="7">
                  <c:v>7.51754096628727</c:v>
                </c:pt>
                <c:pt idx="8">
                  <c:v>7.87846202409766</c:v>
                </c:pt>
                <c:pt idx="9">
                  <c:v>8</c:v>
                </c:pt>
                <c:pt idx="10">
                  <c:v>7.87846202409766</c:v>
                </c:pt>
                <c:pt idx="11">
                  <c:v>7.51754096628727</c:v>
                </c:pt>
                <c:pt idx="12">
                  <c:v>6.92820323027551</c:v>
                </c:pt>
                <c:pt idx="13">
                  <c:v>6.12835554495182</c:v>
                </c:pt>
                <c:pt idx="14">
                  <c:v>5.14230087749232</c:v>
                </c:pt>
                <c:pt idx="15">
                  <c:v>4</c:v>
                </c:pt>
                <c:pt idx="16">
                  <c:v>2.73616114660535</c:v>
                </c:pt>
                <c:pt idx="17">
                  <c:v>1.38918542133544</c:v>
                </c:pt>
                <c:pt idx="18">
                  <c:v>9.79717439317883E-016</c:v>
                </c:pt>
              </c:numCache>
            </c:numRef>
          </c:yVal>
          <c:smooth val="0"/>
        </c:ser>
        <c:ser>
          <c:idx val="2"/>
          <c:order val="2"/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xVal>
            <c:numRef>
              <c:f>外トロコイド!$D$60:$V$60</c:f>
              <c:numCache>
                <c:formatCode>General</c:formatCode>
                <c:ptCount val="19"/>
                <c:pt idx="0">
                  <c:v>20</c:v>
                </c:pt>
                <c:pt idx="1">
                  <c:v>20.1215379759023</c:v>
                </c:pt>
                <c:pt idx="2">
                  <c:v>20.4824590337127</c:v>
                </c:pt>
                <c:pt idx="3">
                  <c:v>21.0717967697245</c:v>
                </c:pt>
                <c:pt idx="4">
                  <c:v>21.8716444550482</c:v>
                </c:pt>
                <c:pt idx="5">
                  <c:v>22.8576991225077</c:v>
                </c:pt>
                <c:pt idx="6">
                  <c:v>24</c:v>
                </c:pt>
                <c:pt idx="7">
                  <c:v>25.2638388533947</c:v>
                </c:pt>
                <c:pt idx="8">
                  <c:v>26.6108145786646</c:v>
                </c:pt>
                <c:pt idx="9">
                  <c:v>28</c:v>
                </c:pt>
                <c:pt idx="10">
                  <c:v>29.3891854213354</c:v>
                </c:pt>
                <c:pt idx="11">
                  <c:v>30.7361611466054</c:v>
                </c:pt>
                <c:pt idx="12">
                  <c:v>32</c:v>
                </c:pt>
                <c:pt idx="13">
                  <c:v>33.1423008774923</c:v>
                </c:pt>
                <c:pt idx="14">
                  <c:v>34.1283555449518</c:v>
                </c:pt>
                <c:pt idx="15">
                  <c:v>34.9282032302755</c:v>
                </c:pt>
                <c:pt idx="16">
                  <c:v>35.5175409662873</c:v>
                </c:pt>
                <c:pt idx="17">
                  <c:v>35.8784620240977</c:v>
                </c:pt>
                <c:pt idx="18">
                  <c:v>36</c:v>
                </c:pt>
              </c:numCache>
            </c:numRef>
          </c:xVal>
          <c:yVal>
            <c:numRef>
              <c:f>外トロコイド!$D$61:$V$61</c:f>
              <c:numCache>
                <c:formatCode>General</c:formatCode>
                <c:ptCount val="19"/>
                <c:pt idx="0">
                  <c:v>9.79717439317883E-016</c:v>
                </c:pt>
                <c:pt idx="1">
                  <c:v>-1.38918542133544</c:v>
                </c:pt>
                <c:pt idx="2">
                  <c:v>-2.73616114660535</c:v>
                </c:pt>
                <c:pt idx="3">
                  <c:v>-4</c:v>
                </c:pt>
                <c:pt idx="4">
                  <c:v>-5.14230087749231</c:v>
                </c:pt>
                <c:pt idx="5">
                  <c:v>-6.12835554495182</c:v>
                </c:pt>
                <c:pt idx="6">
                  <c:v>-6.92820323027551</c:v>
                </c:pt>
                <c:pt idx="7">
                  <c:v>-7.51754096628727</c:v>
                </c:pt>
                <c:pt idx="8">
                  <c:v>-7.87846202409766</c:v>
                </c:pt>
                <c:pt idx="9">
                  <c:v>-8</c:v>
                </c:pt>
                <c:pt idx="10">
                  <c:v>-7.87846202409767</c:v>
                </c:pt>
                <c:pt idx="11">
                  <c:v>-7.51754096628727</c:v>
                </c:pt>
                <c:pt idx="12">
                  <c:v>-6.92820323027551</c:v>
                </c:pt>
                <c:pt idx="13">
                  <c:v>-6.12835554495183</c:v>
                </c:pt>
                <c:pt idx="14">
                  <c:v>-5.14230087749232</c:v>
                </c:pt>
                <c:pt idx="15">
                  <c:v>-4</c:v>
                </c:pt>
                <c:pt idx="16">
                  <c:v>-2.73616114660535</c:v>
                </c:pt>
                <c:pt idx="17">
                  <c:v>-1.38918542133544</c:v>
                </c:pt>
                <c:pt idx="18">
                  <c:v>-1.95943487863577E-015</c:v>
                </c:pt>
              </c:numCache>
            </c:numRef>
          </c:yVal>
          <c:smooth val="0"/>
        </c:ser>
        <c:ser>
          <c:idx val="3"/>
          <c:order val="3"/>
          <c:spPr>
            <a:solidFill>
              <a:srgbClr val="4472c4"/>
            </a:solidFill>
            <a:ln w="28800">
              <a:solidFill>
                <a:srgbClr val="4472c4"/>
              </a:solidFill>
              <a:custDash/>
              <a:round/>
            </a:ln>
          </c:spPr>
          <c:xVal>
            <c:numRef>
              <c:f>外トロコイド!$D$35:$V$35</c:f>
              <c:numCache>
                <c:formatCode>General</c:formatCode>
                <c:ptCount val="19"/>
                <c:pt idx="0">
                  <c:v>36</c:v>
                </c:pt>
                <c:pt idx="1">
                  <c:v>34.1278334386538</c:v>
                </c:pt>
                <c:pt idx="2">
                  <c:v>29.0475545286108</c:v>
                </c:pt>
                <c:pt idx="3">
                  <c:v>22.1781589451441</c:v>
                </c:pt>
                <c:pt idx="4">
                  <c:v>15.3208888623796</c:v>
                </c:pt>
                <c:pt idx="5">
                  <c:v>10.0284954864891</c:v>
                </c:pt>
                <c:pt idx="6">
                  <c:v>7.07179676972449</c:v>
                </c:pt>
                <c:pt idx="7">
                  <c:v>6.19561791919312</c:v>
                </c:pt>
                <c:pt idx="8">
                  <c:v>6.2513343960095</c:v>
                </c:pt>
                <c:pt idx="9">
                  <c:v>5.65685424949238</c:v>
                </c:pt>
                <c:pt idx="10">
                  <c:v>3.01631304942363</c:v>
                </c:pt>
                <c:pt idx="11">
                  <c:v>-2.32610171682549</c:v>
                </c:pt>
                <c:pt idx="12">
                  <c:v>-9.99999999999996</c:v>
                </c:pt>
                <c:pt idx="13">
                  <c:v>-18.6952990132044</c:v>
                </c:pt>
                <c:pt idx="14">
                  <c:v>-26.5915452848237</c:v>
                </c:pt>
                <c:pt idx="15">
                  <c:v>-31.9761179162768</c:v>
                </c:pt>
                <c:pt idx="16">
                  <c:v>-33.8289343482927</c:v>
                </c:pt>
                <c:pt idx="17">
                  <c:v>-32.1632285751502</c:v>
                </c:pt>
                <c:pt idx="18">
                  <c:v>-28</c:v>
                </c:pt>
              </c:numCache>
            </c:numRef>
          </c:xVal>
          <c:yVal>
            <c:numRef>
              <c:f>外トロコイド!$D$36:$V$36</c:f>
              <c:numCache>
                <c:formatCode>General</c:formatCode>
                <c:ptCount val="19"/>
                <c:pt idx="0">
                  <c:v>-1.37160441504504E-014</c:v>
                </c:pt>
                <c:pt idx="1">
                  <c:v>9.45076046548239</c:v>
                </c:pt>
                <c:pt idx="2">
                  <c:v>17.094104979406</c:v>
                </c:pt>
                <c:pt idx="3">
                  <c:v>21.7274066103125</c:v>
                </c:pt>
                <c:pt idx="4">
                  <c:v>23.1403539487154</c:v>
                </c:pt>
                <c:pt idx="5">
                  <c:v>22.1464903493127</c:v>
                </c:pt>
                <c:pt idx="6">
                  <c:v>20.2487113059643</c:v>
                </c:pt>
                <c:pt idx="7">
                  <c:v>19.0609310857122</c:v>
                </c:pt>
                <c:pt idx="8">
                  <c:v>19.6961550602442</c:v>
                </c:pt>
                <c:pt idx="9">
                  <c:v>22.3431457505076</c:v>
                </c:pt>
                <c:pt idx="10">
                  <c:v>26.1854316630064</c:v>
                </c:pt>
                <c:pt idx="11">
                  <c:v>29.692339475931</c:v>
                </c:pt>
                <c:pt idx="12">
                  <c:v>31.1769145362398</c:v>
                </c:pt>
                <c:pt idx="13">
                  <c:v>29.4188019920653</c:v>
                </c:pt>
                <c:pt idx="14">
                  <c:v>24.1264086161749</c:v>
                </c:pt>
                <c:pt idx="15">
                  <c:v>16.0705523608202</c:v>
                </c:pt>
                <c:pt idx="16">
                  <c:v>6.84040286651339</c:v>
                </c:pt>
                <c:pt idx="17">
                  <c:v>-1.69106737963788</c:v>
                </c:pt>
                <c:pt idx="18">
                  <c:v>-7.99999999999999</c:v>
                </c:pt>
              </c:numCache>
            </c:numRef>
          </c:yVal>
          <c:smooth val="0"/>
        </c:ser>
        <c:ser>
          <c:idx val="4"/>
          <c:order val="4"/>
          <c:spPr>
            <a:solidFill>
              <a:srgbClr val="4472c4"/>
            </a:solidFill>
            <a:ln w="28800">
              <a:solidFill>
                <a:srgbClr val="4472c4"/>
              </a:solidFill>
              <a:custDash/>
              <a:round/>
            </a:ln>
          </c:spPr>
          <c:xVal>
            <c:numRef>
              <c:f>外トロコイド!$D$40:$V$40</c:f>
              <c:numCache>
                <c:formatCode>General</c:formatCode>
                <c:ptCount val="19"/>
                <c:pt idx="0">
                  <c:v>-28</c:v>
                </c:pt>
                <c:pt idx="1">
                  <c:v>-22.9860055935334</c:v>
                </c:pt>
                <c:pt idx="2">
                  <c:v>-18.7938524157182</c:v>
                </c:pt>
                <c:pt idx="3">
                  <c:v>-16.5213046956517</c:v>
                </c:pt>
                <c:pt idx="4">
                  <c:v>-16.3069435298391</c:v>
                </c:pt>
                <c:pt idx="5">
                  <c:v>-17.3008071292418</c:v>
                </c:pt>
                <c:pt idx="6">
                  <c:v>-18</c:v>
                </c:pt>
                <c:pt idx="7">
                  <c:v>-16.8270263094119</c:v>
                </c:pt>
                <c:pt idx="8">
                  <c:v>-12.7406109987717</c:v>
                </c:pt>
                <c:pt idx="9">
                  <c:v>-5.65685424949242</c:v>
                </c:pt>
                <c:pt idx="10">
                  <c:v>3.47296355333857</c:v>
                </c:pt>
                <c:pt idx="11">
                  <c:v>12.9575101070443</c:v>
                </c:pt>
                <c:pt idx="12">
                  <c:v>20.9282032302755</c:v>
                </c:pt>
                <c:pt idx="13">
                  <c:v>25.9676106559571</c:v>
                </c:pt>
                <c:pt idx="14">
                  <c:v>27.5775999522832</c:v>
                </c:pt>
                <c:pt idx="15">
                  <c:v>26.3192636667844</c:v>
                </c:pt>
                <c:pt idx="16">
                  <c:v>23.5752322354001</c:v>
                </c:pt>
                <c:pt idx="17">
                  <c:v>21.0214007300299</c:v>
                </c:pt>
                <c:pt idx="18">
                  <c:v>20</c:v>
                </c:pt>
              </c:numCache>
            </c:numRef>
          </c:xVal>
          <c:yVal>
            <c:numRef>
              <c:f>外トロコイド!$D$41:$V$41</c:f>
              <c:numCache>
                <c:formatCode>General</c:formatCode>
                <c:ptCount val="19"/>
                <c:pt idx="0">
                  <c:v>-7.99999999999999</c:v>
                </c:pt>
                <c:pt idx="1">
                  <c:v>-11.415365328986</c:v>
                </c:pt>
                <c:pt idx="2">
                  <c:v>-12.3127251597241</c:v>
                </c:pt>
                <c:pt idx="3">
                  <c:v>-11.9294476391798</c:v>
                </c:pt>
                <c:pt idx="4">
                  <c:v>-11.8696975262713</c:v>
                </c:pt>
                <c:pt idx="5">
                  <c:v>-13.4796868225974</c:v>
                </c:pt>
                <c:pt idx="6">
                  <c:v>-17.3205080756888</c:v>
                </c:pt>
                <c:pt idx="7">
                  <c:v>-22.9304472880798</c:v>
                </c:pt>
                <c:pt idx="8">
                  <c:v>-28.9638025056773</c:v>
                </c:pt>
                <c:pt idx="9">
                  <c:v>-33.6568542494924</c:v>
                </c:pt>
                <c:pt idx="10">
                  <c:v>-35.4530791084395</c:v>
                </c:pt>
                <c:pt idx="11">
                  <c:v>-33.5618556782986</c:v>
                </c:pt>
                <c:pt idx="12">
                  <c:v>-28.2487113059643</c:v>
                </c:pt>
                <c:pt idx="13">
                  <c:v>-20.7519984653501</c:v>
                </c:pt>
                <c:pt idx="14">
                  <c:v>-12.8557521937308</c:v>
                </c:pt>
                <c:pt idx="15">
                  <c:v>-6.27259338968745</c:v>
                </c:pt>
                <c:pt idx="16">
                  <c:v>-2.05902304683147</c:v>
                </c:pt>
                <c:pt idx="17">
                  <c:v>-0.273537483865671</c:v>
                </c:pt>
                <c:pt idx="18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xVal>
            <c:numRef>
              <c:f>外トロコイド!$D$45:$V$45</c:f>
              <c:numCache>
                <c:formatCode>General</c:formatCode>
                <c:ptCount val="19"/>
                <c:pt idx="0">
                  <c:v>20</c:v>
                </c:pt>
                <c:pt idx="1">
                  <c:v>19.6961550602442</c:v>
                </c:pt>
                <c:pt idx="2">
                  <c:v>18.7938524157182</c:v>
                </c:pt>
                <c:pt idx="3">
                  <c:v>17.3205080756888</c:v>
                </c:pt>
                <c:pt idx="4">
                  <c:v>15.3208888623796</c:v>
                </c:pt>
                <c:pt idx="5">
                  <c:v>12.8557521937308</c:v>
                </c:pt>
                <c:pt idx="6">
                  <c:v>10</c:v>
                </c:pt>
                <c:pt idx="7">
                  <c:v>6.84040286651338</c:v>
                </c:pt>
                <c:pt idx="8">
                  <c:v>3.47296355333861</c:v>
                </c:pt>
                <c:pt idx="9">
                  <c:v>1.22464679914735E-015</c:v>
                </c:pt>
                <c:pt idx="10">
                  <c:v>-3.47296355333861</c:v>
                </c:pt>
                <c:pt idx="11">
                  <c:v>-6.84040286651337</c:v>
                </c:pt>
                <c:pt idx="12">
                  <c:v>-10</c:v>
                </c:pt>
                <c:pt idx="13">
                  <c:v>-12.8557521937308</c:v>
                </c:pt>
                <c:pt idx="14">
                  <c:v>-15.3208888623796</c:v>
                </c:pt>
                <c:pt idx="15">
                  <c:v>-17.3205080756888</c:v>
                </c:pt>
                <c:pt idx="16">
                  <c:v>-18.7938524157182</c:v>
                </c:pt>
                <c:pt idx="17">
                  <c:v>-19.6961550602442</c:v>
                </c:pt>
                <c:pt idx="18">
                  <c:v>-20</c:v>
                </c:pt>
              </c:numCache>
            </c:numRef>
          </c:xVal>
          <c:yVal>
            <c:numRef>
              <c:f>外トロコイド!$D$46:$V$46</c:f>
              <c:numCache>
                <c:formatCode>General</c:formatCode>
                <c:ptCount val="19"/>
                <c:pt idx="0">
                  <c:v>0</c:v>
                </c:pt>
                <c:pt idx="1">
                  <c:v>3.47296355333861</c:v>
                </c:pt>
                <c:pt idx="2">
                  <c:v>6.84040286651337</c:v>
                </c:pt>
                <c:pt idx="3">
                  <c:v>10</c:v>
                </c:pt>
                <c:pt idx="4">
                  <c:v>12.8557521937308</c:v>
                </c:pt>
                <c:pt idx="5">
                  <c:v>15.3208888623796</c:v>
                </c:pt>
                <c:pt idx="6">
                  <c:v>17.3205080756888</c:v>
                </c:pt>
                <c:pt idx="7">
                  <c:v>18.7938524157182</c:v>
                </c:pt>
                <c:pt idx="8">
                  <c:v>19.6961550602442</c:v>
                </c:pt>
                <c:pt idx="9">
                  <c:v>20</c:v>
                </c:pt>
                <c:pt idx="10">
                  <c:v>19.6961550602442</c:v>
                </c:pt>
                <c:pt idx="11">
                  <c:v>18.7938524157182</c:v>
                </c:pt>
                <c:pt idx="12">
                  <c:v>17.3205080756888</c:v>
                </c:pt>
                <c:pt idx="13">
                  <c:v>15.3208888623796</c:v>
                </c:pt>
                <c:pt idx="14">
                  <c:v>12.8557521937308</c:v>
                </c:pt>
                <c:pt idx="15">
                  <c:v>10</c:v>
                </c:pt>
                <c:pt idx="16">
                  <c:v>6.84040286651338</c:v>
                </c:pt>
                <c:pt idx="17">
                  <c:v>3.47296355333861</c:v>
                </c:pt>
                <c:pt idx="18">
                  <c:v>2.44929359829471E-015</c:v>
                </c:pt>
              </c:numCache>
            </c:numRef>
          </c:yVal>
          <c:smooth val="0"/>
        </c:ser>
        <c:ser>
          <c:idx val="6"/>
          <c:order val="6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xVal>
            <c:numRef>
              <c:f>外トロコイド!$D$50:$V$50</c:f>
              <c:numCache>
                <c:formatCode>General</c:formatCode>
                <c:ptCount val="19"/>
                <c:pt idx="0">
                  <c:v>-20</c:v>
                </c:pt>
                <c:pt idx="1">
                  <c:v>-19.6961550602442</c:v>
                </c:pt>
                <c:pt idx="2">
                  <c:v>-18.7938524157182</c:v>
                </c:pt>
                <c:pt idx="3">
                  <c:v>-17.3205080756888</c:v>
                </c:pt>
                <c:pt idx="4">
                  <c:v>-15.3208888623796</c:v>
                </c:pt>
                <c:pt idx="5">
                  <c:v>-12.8557521937308</c:v>
                </c:pt>
                <c:pt idx="6">
                  <c:v>-10</c:v>
                </c:pt>
                <c:pt idx="7">
                  <c:v>-6.84040286651337</c:v>
                </c:pt>
                <c:pt idx="8">
                  <c:v>-3.47296355333861</c:v>
                </c:pt>
                <c:pt idx="9">
                  <c:v>-3.67394039744206E-015</c:v>
                </c:pt>
                <c:pt idx="10">
                  <c:v>3.4729635533386</c:v>
                </c:pt>
                <c:pt idx="11">
                  <c:v>6.84040286651338</c:v>
                </c:pt>
                <c:pt idx="12">
                  <c:v>10</c:v>
                </c:pt>
                <c:pt idx="13">
                  <c:v>12.8557521937308</c:v>
                </c:pt>
                <c:pt idx="14">
                  <c:v>15.3208888623796</c:v>
                </c:pt>
                <c:pt idx="15">
                  <c:v>17.3205080756888</c:v>
                </c:pt>
                <c:pt idx="16">
                  <c:v>18.7938524157182</c:v>
                </c:pt>
                <c:pt idx="17">
                  <c:v>19.6961550602442</c:v>
                </c:pt>
                <c:pt idx="18">
                  <c:v>20</c:v>
                </c:pt>
              </c:numCache>
            </c:numRef>
          </c:xVal>
          <c:yVal>
            <c:numRef>
              <c:f>外トロコイド!$D$51:$V$51</c:f>
              <c:numCache>
                <c:formatCode>General</c:formatCode>
                <c:ptCount val="19"/>
                <c:pt idx="0">
                  <c:v>2.44929359829471E-015</c:v>
                </c:pt>
                <c:pt idx="1">
                  <c:v>-3.47296355333861</c:v>
                </c:pt>
                <c:pt idx="2">
                  <c:v>-6.84040286651337</c:v>
                </c:pt>
                <c:pt idx="3">
                  <c:v>-10</c:v>
                </c:pt>
                <c:pt idx="4">
                  <c:v>-12.8557521937308</c:v>
                </c:pt>
                <c:pt idx="5">
                  <c:v>-15.3208888623796</c:v>
                </c:pt>
                <c:pt idx="6">
                  <c:v>-17.3205080756888</c:v>
                </c:pt>
                <c:pt idx="7">
                  <c:v>-18.7938524157182</c:v>
                </c:pt>
                <c:pt idx="8">
                  <c:v>-19.6961550602442</c:v>
                </c:pt>
                <c:pt idx="9">
                  <c:v>-20</c:v>
                </c:pt>
                <c:pt idx="10">
                  <c:v>-19.6961550602442</c:v>
                </c:pt>
                <c:pt idx="11">
                  <c:v>-18.7938524157182</c:v>
                </c:pt>
                <c:pt idx="12">
                  <c:v>-17.3205080756888</c:v>
                </c:pt>
                <c:pt idx="13">
                  <c:v>-15.3208888623796</c:v>
                </c:pt>
                <c:pt idx="14">
                  <c:v>-12.8557521937308</c:v>
                </c:pt>
                <c:pt idx="15">
                  <c:v>-10</c:v>
                </c:pt>
                <c:pt idx="16">
                  <c:v>-6.84040286651337</c:v>
                </c:pt>
                <c:pt idx="17">
                  <c:v>-3.47296355333861</c:v>
                </c:pt>
                <c:pt idx="18">
                  <c:v>-4.89858719658941E-015</c:v>
                </c:pt>
              </c:numCache>
            </c:numRef>
          </c:yVal>
          <c:smooth val="0"/>
        </c:ser>
        <c:ser>
          <c:idx val="7"/>
          <c:order val="7"/>
          <c:spPr>
            <a:solidFill>
              <a:srgbClr val="4472c4"/>
            </a:solidFill>
            <a:ln w="28800">
              <a:solidFill>
                <a:srgbClr val="4472c4"/>
              </a:solidFill>
              <a:round/>
            </a:ln>
          </c:spPr>
          <c:xVal>
            <c:numRef>
              <c:f>外トロコイド!$D$30:$V$30</c:f>
              <c:numCache>
                <c:formatCode>General</c:formatCode>
                <c:ptCount val="19"/>
                <c:pt idx="0">
                  <c:v>-28</c:v>
                </c:pt>
                <c:pt idx="1">
                  <c:v>-32.1632285751502</c:v>
                </c:pt>
                <c:pt idx="2">
                  <c:v>-33.8289343482927</c:v>
                </c:pt>
                <c:pt idx="3">
                  <c:v>-31.9761179162768</c:v>
                </c:pt>
                <c:pt idx="4">
                  <c:v>-26.5915452848237</c:v>
                </c:pt>
                <c:pt idx="5">
                  <c:v>-18.6952990132044</c:v>
                </c:pt>
                <c:pt idx="6">
                  <c:v>-10</c:v>
                </c:pt>
                <c:pt idx="7">
                  <c:v>-2.32610171682551</c:v>
                </c:pt>
                <c:pt idx="8">
                  <c:v>3.01631304942362</c:v>
                </c:pt>
                <c:pt idx="9">
                  <c:v>5.65685424949237</c:v>
                </c:pt>
                <c:pt idx="10">
                  <c:v>6.2513343960095</c:v>
                </c:pt>
                <c:pt idx="11">
                  <c:v>6.19561791919312</c:v>
                </c:pt>
                <c:pt idx="12">
                  <c:v>7.0717967697245</c:v>
                </c:pt>
                <c:pt idx="13">
                  <c:v>10.0284954864891</c:v>
                </c:pt>
                <c:pt idx="14">
                  <c:v>15.3208888623795</c:v>
                </c:pt>
                <c:pt idx="15">
                  <c:v>22.1781589451441</c:v>
                </c:pt>
                <c:pt idx="16">
                  <c:v>29.0475545286108</c:v>
                </c:pt>
                <c:pt idx="17">
                  <c:v>34.1278334386538</c:v>
                </c:pt>
                <c:pt idx="18">
                  <c:v>36</c:v>
                </c:pt>
              </c:numCache>
            </c:numRef>
          </c:xVal>
          <c:yVal>
            <c:numRef>
              <c:f>外トロコイド!$D$31:$V$31</c:f>
              <c:numCache>
                <c:formatCode>General</c:formatCode>
                <c:ptCount val="19"/>
                <c:pt idx="0">
                  <c:v>8</c:v>
                </c:pt>
                <c:pt idx="1">
                  <c:v>1.69106737963788</c:v>
                </c:pt>
                <c:pt idx="2">
                  <c:v>-6.84040286651337</c:v>
                </c:pt>
                <c:pt idx="3">
                  <c:v>-16.0705523608202</c:v>
                </c:pt>
                <c:pt idx="4">
                  <c:v>-24.1264086161749</c:v>
                </c:pt>
                <c:pt idx="5">
                  <c:v>-29.4188019920653</c:v>
                </c:pt>
                <c:pt idx="6">
                  <c:v>-31.1769145362398</c:v>
                </c:pt>
                <c:pt idx="7">
                  <c:v>-29.692339475931</c:v>
                </c:pt>
                <c:pt idx="8">
                  <c:v>-26.1854316630064</c:v>
                </c:pt>
                <c:pt idx="9">
                  <c:v>-22.3431457505076</c:v>
                </c:pt>
                <c:pt idx="10">
                  <c:v>-19.6961550602442</c:v>
                </c:pt>
                <c:pt idx="11">
                  <c:v>-19.0609310857122</c:v>
                </c:pt>
                <c:pt idx="12">
                  <c:v>-20.2487113059643</c:v>
                </c:pt>
                <c:pt idx="13">
                  <c:v>-22.1464903493127</c:v>
                </c:pt>
                <c:pt idx="14">
                  <c:v>-23.1403539487154</c:v>
                </c:pt>
                <c:pt idx="15">
                  <c:v>-21.7274066103126</c:v>
                </c:pt>
                <c:pt idx="16">
                  <c:v>-17.094104979406</c:v>
                </c:pt>
                <c:pt idx="17">
                  <c:v>-9.45076046548241</c:v>
                </c:pt>
                <c:pt idx="18">
                  <c:v>-1.37160441504504E-014</c:v>
                </c:pt>
              </c:numCache>
            </c:numRef>
          </c:yVal>
          <c:smooth val="0"/>
        </c:ser>
        <c:axId val="4648330"/>
        <c:axId val="15493877"/>
      </c:scatterChart>
      <c:valAx>
        <c:axId val="464833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15493877"/>
        <c:crosses val="autoZero"/>
      </c:valAx>
      <c:valAx>
        <c:axId val="15493877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4648330"/>
        <c:crosses val="autoZero"/>
      </c:valAx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spPr>
            <a:solidFill>
              <a:srgbClr val="4472c4"/>
            </a:solidFill>
            <a:ln w="28800">
              <a:solidFill>
                <a:srgbClr val="4472c4"/>
              </a:solidFill>
              <a:round/>
            </a:ln>
          </c:spPr>
          <c:xVal>
            <c:numRef>
              <c:f>内トロコイド!$D$25:$V$25</c:f>
              <c:numCache>
                <c:formatCode>General</c:formatCode>
                <c:ptCount val="19"/>
                <c:pt idx="0">
                  <c:v>4</c:v>
                </c:pt>
                <c:pt idx="1">
                  <c:v>4.09028642583395</c:v>
                </c:pt>
                <c:pt idx="2">
                  <c:v>4.34810821915539</c:v>
                </c:pt>
                <c:pt idx="3">
                  <c:v>4.73545059592088</c:v>
                </c:pt>
                <c:pt idx="4">
                  <c:v>5.19253331742774</c:v>
                </c:pt>
                <c:pt idx="5">
                  <c:v>5.64289895541831</c:v>
                </c:pt>
                <c:pt idx="6">
                  <c:v>6</c:v>
                </c:pt>
                <c:pt idx="7">
                  <c:v>6.17479408072819</c:v>
                </c:pt>
                <c:pt idx="8">
                  <c:v>6.08377813200316</c:v>
                </c:pt>
                <c:pt idx="9">
                  <c:v>5.65685424949238</c:v>
                </c:pt>
                <c:pt idx="10">
                  <c:v>4.84442509827235</c:v>
                </c:pt>
                <c:pt idx="11">
                  <c:v>3.62316489040452</c:v>
                </c:pt>
                <c:pt idx="12">
                  <c:v>2</c:v>
                </c:pt>
                <c:pt idx="13">
                  <c:v>0.0139552940740737</c:v>
                </c:pt>
                <c:pt idx="14">
                  <c:v>-2.26433008715222</c:v>
                </c:pt>
                <c:pt idx="15">
                  <c:v>-4.73545059592088</c:v>
                </c:pt>
                <c:pt idx="16">
                  <c:v>-7.2763114494309</c:v>
                </c:pt>
                <c:pt idx="17">
                  <c:v>-9.74714067532633</c:v>
                </c:pt>
                <c:pt idx="18">
                  <c:v>-12</c:v>
                </c:pt>
              </c:numCache>
            </c:numRef>
          </c:xVal>
          <c:yVal>
            <c:numRef>
              <c:f>内トロコイド!$D$26:$V$26</c:f>
              <c:numCache>
                <c:formatCode>General</c:formatCode>
                <c:ptCount val="19"/>
                <c:pt idx="0">
                  <c:v>0</c:v>
                </c:pt>
                <c:pt idx="1">
                  <c:v>0.0132257711829982</c:v>
                </c:pt>
                <c:pt idx="2">
                  <c:v>0.104241719908025</c:v>
                </c:pt>
                <c:pt idx="3">
                  <c:v>0.343145750507619</c:v>
                </c:pt>
                <c:pt idx="4">
                  <c:v>0.785248085962962</c:v>
                </c:pt>
                <c:pt idx="5">
                  <c:v>1.46512670711519</c:v>
                </c:pt>
                <c:pt idx="6">
                  <c:v>2.39230484541326</c:v>
                </c:pt>
                <c:pt idx="7">
                  <c:v>3.54890483911835</c:v>
                </c:pt>
                <c:pt idx="8">
                  <c:v>4.88948980587099</c:v>
                </c:pt>
                <c:pt idx="9">
                  <c:v>6.34314575050762</c:v>
                </c:pt>
                <c:pt idx="10">
                  <c:v>7.8176930361465</c:v>
                </c:pt>
                <c:pt idx="11">
                  <c:v>9.20575908861074</c:v>
                </c:pt>
                <c:pt idx="12">
                  <c:v>10.3923048454133</c:v>
                </c:pt>
                <c:pt idx="13">
                  <c:v>11.2630856782479</c:v>
                </c:pt>
                <c:pt idx="14">
                  <c:v>11.7134513162385</c:v>
                </c:pt>
                <c:pt idx="15">
                  <c:v>11.6568542494924</c:v>
                </c:pt>
                <c:pt idx="16">
                  <c:v>11.0324449501835</c:v>
                </c:pt>
                <c:pt idx="17">
                  <c:v>9.81118474231571</c:v>
                </c:pt>
                <c:pt idx="18">
                  <c:v>8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xVal>
            <c:numRef>
              <c:f>内トロコイド!$D$55:$V$55</c:f>
              <c:numCache>
                <c:formatCode>General</c:formatCode>
                <c:ptCount val="19"/>
                <c:pt idx="0">
                  <c:v>20</c:v>
                </c:pt>
                <c:pt idx="1">
                  <c:v>19.8784620240977</c:v>
                </c:pt>
                <c:pt idx="2">
                  <c:v>19.5175409662873</c:v>
                </c:pt>
                <c:pt idx="3">
                  <c:v>18.9282032302755</c:v>
                </c:pt>
                <c:pt idx="4">
                  <c:v>18.1283555449518</c:v>
                </c:pt>
                <c:pt idx="5">
                  <c:v>17.1423008774923</c:v>
                </c:pt>
                <c:pt idx="6">
                  <c:v>16</c:v>
                </c:pt>
                <c:pt idx="7">
                  <c:v>14.7361611466054</c:v>
                </c:pt>
                <c:pt idx="8">
                  <c:v>13.3891854213354</c:v>
                </c:pt>
                <c:pt idx="9">
                  <c:v>12</c:v>
                </c:pt>
                <c:pt idx="10">
                  <c:v>10.6108145786646</c:v>
                </c:pt>
                <c:pt idx="11">
                  <c:v>9.26383885339465</c:v>
                </c:pt>
                <c:pt idx="12">
                  <c:v>8</c:v>
                </c:pt>
                <c:pt idx="13">
                  <c:v>6.85769912250769</c:v>
                </c:pt>
                <c:pt idx="14">
                  <c:v>5.87164445504818</c:v>
                </c:pt>
                <c:pt idx="15">
                  <c:v>5.07179676972449</c:v>
                </c:pt>
                <c:pt idx="16">
                  <c:v>4.48245903371273</c:v>
                </c:pt>
                <c:pt idx="17">
                  <c:v>4.12153797590234</c:v>
                </c:pt>
                <c:pt idx="18">
                  <c:v>4</c:v>
                </c:pt>
              </c:numCache>
            </c:numRef>
          </c:xVal>
          <c:yVal>
            <c:numRef>
              <c:f>内トロコイド!$D$56:$V$56</c:f>
              <c:numCache>
                <c:formatCode>General</c:formatCode>
                <c:ptCount val="19"/>
                <c:pt idx="0">
                  <c:v>0</c:v>
                </c:pt>
                <c:pt idx="1">
                  <c:v>1.38918542133544</c:v>
                </c:pt>
                <c:pt idx="2">
                  <c:v>2.73616114660535</c:v>
                </c:pt>
                <c:pt idx="3">
                  <c:v>4</c:v>
                </c:pt>
                <c:pt idx="4">
                  <c:v>5.14230087749231</c:v>
                </c:pt>
                <c:pt idx="5">
                  <c:v>6.12835554495182</c:v>
                </c:pt>
                <c:pt idx="6">
                  <c:v>6.92820323027551</c:v>
                </c:pt>
                <c:pt idx="7">
                  <c:v>7.51754096628727</c:v>
                </c:pt>
                <c:pt idx="8">
                  <c:v>7.87846202409766</c:v>
                </c:pt>
                <c:pt idx="9">
                  <c:v>8</c:v>
                </c:pt>
                <c:pt idx="10">
                  <c:v>7.87846202409766</c:v>
                </c:pt>
                <c:pt idx="11">
                  <c:v>7.51754096628727</c:v>
                </c:pt>
                <c:pt idx="12">
                  <c:v>6.92820323027551</c:v>
                </c:pt>
                <c:pt idx="13">
                  <c:v>6.12835554495182</c:v>
                </c:pt>
                <c:pt idx="14">
                  <c:v>5.14230087749232</c:v>
                </c:pt>
                <c:pt idx="15">
                  <c:v>4</c:v>
                </c:pt>
                <c:pt idx="16">
                  <c:v>2.73616114660535</c:v>
                </c:pt>
                <c:pt idx="17">
                  <c:v>1.38918542133544</c:v>
                </c:pt>
                <c:pt idx="18">
                  <c:v>9.79717439317883E-016</c:v>
                </c:pt>
              </c:numCache>
            </c:numRef>
          </c:yVal>
          <c:smooth val="0"/>
        </c:ser>
        <c:ser>
          <c:idx val="2"/>
          <c:order val="2"/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xVal>
            <c:numRef>
              <c:f>内トロコイド!$D$60:$V$60</c:f>
              <c:numCache>
                <c:formatCode>General</c:formatCode>
                <c:ptCount val="19"/>
                <c:pt idx="0">
                  <c:v>4</c:v>
                </c:pt>
                <c:pt idx="1">
                  <c:v>4.12153797590234</c:v>
                </c:pt>
                <c:pt idx="2">
                  <c:v>4.48245903371273</c:v>
                </c:pt>
                <c:pt idx="3">
                  <c:v>5.07179676972449</c:v>
                </c:pt>
                <c:pt idx="4">
                  <c:v>5.87164445504818</c:v>
                </c:pt>
                <c:pt idx="5">
                  <c:v>6.85769912250768</c:v>
                </c:pt>
                <c:pt idx="6">
                  <c:v>8</c:v>
                </c:pt>
                <c:pt idx="7">
                  <c:v>9.26383885339465</c:v>
                </c:pt>
                <c:pt idx="8">
                  <c:v>10.6108145786646</c:v>
                </c:pt>
                <c:pt idx="9">
                  <c:v>12</c:v>
                </c:pt>
                <c:pt idx="10">
                  <c:v>13.3891854213354</c:v>
                </c:pt>
                <c:pt idx="11">
                  <c:v>14.7361611466054</c:v>
                </c:pt>
                <c:pt idx="12">
                  <c:v>16</c:v>
                </c:pt>
                <c:pt idx="13">
                  <c:v>17.1423008774923</c:v>
                </c:pt>
                <c:pt idx="14">
                  <c:v>18.1283555449518</c:v>
                </c:pt>
                <c:pt idx="15">
                  <c:v>18.9282032302755</c:v>
                </c:pt>
                <c:pt idx="16">
                  <c:v>19.5175409662873</c:v>
                </c:pt>
                <c:pt idx="17">
                  <c:v>19.8784620240977</c:v>
                </c:pt>
                <c:pt idx="18">
                  <c:v>20</c:v>
                </c:pt>
              </c:numCache>
            </c:numRef>
          </c:xVal>
          <c:yVal>
            <c:numRef>
              <c:f>内トロコイド!$D$61:$V$61</c:f>
              <c:numCache>
                <c:formatCode>General</c:formatCode>
                <c:ptCount val="19"/>
                <c:pt idx="0">
                  <c:v>9.79717439317883E-016</c:v>
                </c:pt>
                <c:pt idx="1">
                  <c:v>-1.38918542133544</c:v>
                </c:pt>
                <c:pt idx="2">
                  <c:v>-2.73616114660535</c:v>
                </c:pt>
                <c:pt idx="3">
                  <c:v>-4</c:v>
                </c:pt>
                <c:pt idx="4">
                  <c:v>-5.14230087749231</c:v>
                </c:pt>
                <c:pt idx="5">
                  <c:v>-6.12835554495182</c:v>
                </c:pt>
                <c:pt idx="6">
                  <c:v>-6.92820323027551</c:v>
                </c:pt>
                <c:pt idx="7">
                  <c:v>-7.51754096628727</c:v>
                </c:pt>
                <c:pt idx="8">
                  <c:v>-7.87846202409766</c:v>
                </c:pt>
                <c:pt idx="9">
                  <c:v>-8</c:v>
                </c:pt>
                <c:pt idx="10">
                  <c:v>-7.87846202409767</c:v>
                </c:pt>
                <c:pt idx="11">
                  <c:v>-7.51754096628727</c:v>
                </c:pt>
                <c:pt idx="12">
                  <c:v>-6.92820323027551</c:v>
                </c:pt>
                <c:pt idx="13">
                  <c:v>-6.12835554495183</c:v>
                </c:pt>
                <c:pt idx="14">
                  <c:v>-5.14230087749232</c:v>
                </c:pt>
                <c:pt idx="15">
                  <c:v>-4</c:v>
                </c:pt>
                <c:pt idx="16">
                  <c:v>-2.73616114660535</c:v>
                </c:pt>
                <c:pt idx="17">
                  <c:v>-1.38918542133544</c:v>
                </c:pt>
                <c:pt idx="18">
                  <c:v>-1.95943487863577E-015</c:v>
                </c:pt>
              </c:numCache>
            </c:numRef>
          </c:yVal>
          <c:smooth val="0"/>
        </c:ser>
        <c:ser>
          <c:idx val="3"/>
          <c:order val="3"/>
          <c:spPr>
            <a:solidFill>
              <a:srgbClr val="4472c4"/>
            </a:solidFill>
            <a:ln w="28800">
              <a:solidFill>
                <a:srgbClr val="4472c4"/>
              </a:solidFill>
              <a:custDash/>
              <a:round/>
            </a:ln>
          </c:spPr>
          <c:xVal>
            <c:numRef>
              <c:f>内トロコイド!$D$35:$V$35</c:f>
              <c:numCache>
                <c:formatCode>General</c:formatCode>
                <c:ptCount val="19"/>
                <c:pt idx="0">
                  <c:v>20</c:v>
                </c:pt>
                <c:pt idx="1">
                  <c:v>19.545099646459</c:v>
                </c:pt>
                <c:pt idx="2">
                  <c:v>18.2045146797064</c:v>
                </c:pt>
                <c:pt idx="3">
                  <c:v>16.0491590949056</c:v>
                </c:pt>
                <c:pt idx="4">
                  <c:v>13.1925333174277</c:v>
                </c:pt>
                <c:pt idx="5">
                  <c:v>9.78400367705864</c:v>
                </c:pt>
                <c:pt idx="6">
                  <c:v>5.99999999999999</c:v>
                </c:pt>
                <c:pt idx="7">
                  <c:v>2.03368935908786</c:v>
                </c:pt>
                <c:pt idx="8">
                  <c:v>-1.91622186799684</c:v>
                </c:pt>
                <c:pt idx="9">
                  <c:v>-5.65685424949237</c:v>
                </c:pt>
                <c:pt idx="10">
                  <c:v>-9.01198136227867</c:v>
                </c:pt>
                <c:pt idx="11">
                  <c:v>-11.8316483302206</c:v>
                </c:pt>
                <c:pt idx="12">
                  <c:v>-14</c:v>
                </c:pt>
                <c:pt idx="13">
                  <c:v>-15.440857926551</c:v>
                </c:pt>
                <c:pt idx="14">
                  <c:v>-16.1207365477032</c:v>
                </c:pt>
                <c:pt idx="15">
                  <c:v>-16.0491590949056</c:v>
                </c:pt>
                <c:pt idx="16">
                  <c:v>-15.2763114494309</c:v>
                </c:pt>
                <c:pt idx="17">
                  <c:v>-13.8882453969667</c:v>
                </c:pt>
                <c:pt idx="18">
                  <c:v>-12</c:v>
                </c:pt>
              </c:numCache>
            </c:numRef>
          </c:xVal>
          <c:yVal>
            <c:numRef>
              <c:f>内トロコイド!$D$36:$V$36</c:f>
              <c:numCache>
                <c:formatCode>General</c:formatCode>
                <c:ptCount val="19"/>
                <c:pt idx="0">
                  <c:v>-5.8783046359073E-015</c:v>
                </c:pt>
                <c:pt idx="1">
                  <c:v>4.15433049282332</c:v>
                </c:pt>
                <c:pt idx="2">
                  <c:v>8.10424171990803</c:v>
                </c:pt>
                <c:pt idx="3">
                  <c:v>11.6568542494924</c:v>
                </c:pt>
                <c:pt idx="4">
                  <c:v>14.641654546514</c:v>
                </c:pt>
                <c:pt idx="5">
                  <c:v>16.9199399277403</c:v>
                </c:pt>
                <c:pt idx="6">
                  <c:v>18.3923048454133</c:v>
                </c:pt>
                <c:pt idx="7">
                  <c:v>19.0037180597435</c:v>
                </c:pt>
                <c:pt idx="8">
                  <c:v>18.745896266422</c:v>
                </c:pt>
                <c:pt idx="9">
                  <c:v>17.6568542494924</c:v>
                </c:pt>
                <c:pt idx="10">
                  <c:v>15.8176930361465</c:v>
                </c:pt>
                <c:pt idx="11">
                  <c:v>13.3468638102511</c:v>
                </c:pt>
                <c:pt idx="12">
                  <c:v>10.3923048454133</c:v>
                </c:pt>
                <c:pt idx="13">
                  <c:v>7.12198095660756</c:v>
                </c:pt>
                <c:pt idx="14">
                  <c:v>3.71345131623846</c:v>
                </c:pt>
                <c:pt idx="15">
                  <c:v>0.343145750507615</c:v>
                </c:pt>
                <c:pt idx="16">
                  <c:v>-2.82396151036748</c:v>
                </c:pt>
                <c:pt idx="17">
                  <c:v>-5.64362847830938</c:v>
                </c:pt>
                <c:pt idx="18">
                  <c:v>-8</c:v>
                </c:pt>
              </c:numCache>
            </c:numRef>
          </c:yVal>
          <c:smooth val="0"/>
        </c:ser>
        <c:ser>
          <c:idx val="4"/>
          <c:order val="4"/>
          <c:spPr>
            <a:solidFill>
              <a:srgbClr val="4472c4"/>
            </a:solidFill>
            <a:ln w="28800">
              <a:solidFill>
                <a:srgbClr val="4472c4"/>
              </a:solidFill>
              <a:custDash/>
              <a:round/>
            </a:ln>
          </c:spPr>
          <c:xVal>
            <c:numRef>
              <c:f>内トロコイド!$D$40:$V$40</c:f>
              <c:numCache>
                <c:formatCode>General</c:formatCode>
                <c:ptCount val="19"/>
                <c:pt idx="0">
                  <c:v>-12</c:v>
                </c:pt>
                <c:pt idx="1">
                  <c:v>-9.74714067532634</c:v>
                </c:pt>
                <c:pt idx="2">
                  <c:v>-7.27631144943091</c:v>
                </c:pt>
                <c:pt idx="3">
                  <c:v>-4.7354505959209</c:v>
                </c:pt>
                <c:pt idx="4">
                  <c:v>-2.26433008715222</c:v>
                </c:pt>
                <c:pt idx="5">
                  <c:v>0.0139552940740808</c:v>
                </c:pt>
                <c:pt idx="6">
                  <c:v>2</c:v>
                </c:pt>
                <c:pt idx="7">
                  <c:v>3.62316489040452</c:v>
                </c:pt>
                <c:pt idx="8">
                  <c:v>4.84442509827235</c:v>
                </c:pt>
                <c:pt idx="9">
                  <c:v>5.65685424949237</c:v>
                </c:pt>
                <c:pt idx="10">
                  <c:v>6.08377813200317</c:v>
                </c:pt>
                <c:pt idx="11">
                  <c:v>6.17479408072818</c:v>
                </c:pt>
                <c:pt idx="12">
                  <c:v>6.00000000000001</c:v>
                </c:pt>
                <c:pt idx="13">
                  <c:v>5.64289895541832</c:v>
                </c:pt>
                <c:pt idx="14">
                  <c:v>5.19253331742774</c:v>
                </c:pt>
                <c:pt idx="15">
                  <c:v>4.73545059592087</c:v>
                </c:pt>
                <c:pt idx="16">
                  <c:v>4.34810821915539</c:v>
                </c:pt>
                <c:pt idx="17">
                  <c:v>4.09028642583395</c:v>
                </c:pt>
                <c:pt idx="18">
                  <c:v>4</c:v>
                </c:pt>
              </c:numCache>
            </c:numRef>
          </c:xVal>
          <c:yVal>
            <c:numRef>
              <c:f>内トロコイド!$D$41:$V$41</c:f>
              <c:numCache>
                <c:formatCode>General</c:formatCode>
                <c:ptCount val="19"/>
                <c:pt idx="0">
                  <c:v>-8</c:v>
                </c:pt>
                <c:pt idx="1">
                  <c:v>-9.81118474231571</c:v>
                </c:pt>
                <c:pt idx="2">
                  <c:v>-11.0324449501835</c:v>
                </c:pt>
                <c:pt idx="3">
                  <c:v>-11.6568542494924</c:v>
                </c:pt>
                <c:pt idx="4">
                  <c:v>-11.7134513162385</c:v>
                </c:pt>
                <c:pt idx="5">
                  <c:v>-11.2630856782479</c:v>
                </c:pt>
                <c:pt idx="6">
                  <c:v>-10.3923048454133</c:v>
                </c:pt>
                <c:pt idx="7">
                  <c:v>-9.20575908861073</c:v>
                </c:pt>
                <c:pt idx="8">
                  <c:v>-7.81769303614651</c:v>
                </c:pt>
                <c:pt idx="9">
                  <c:v>-6.34314575050762</c:v>
                </c:pt>
                <c:pt idx="10">
                  <c:v>-4.889489805871</c:v>
                </c:pt>
                <c:pt idx="11">
                  <c:v>-3.54890483911836</c:v>
                </c:pt>
                <c:pt idx="12">
                  <c:v>-2.39230484541327</c:v>
                </c:pt>
                <c:pt idx="13">
                  <c:v>-1.46512670711518</c:v>
                </c:pt>
                <c:pt idx="14">
                  <c:v>-0.785248085962961</c:v>
                </c:pt>
                <c:pt idx="15">
                  <c:v>-0.343145750507629</c:v>
                </c:pt>
                <c:pt idx="16">
                  <c:v>-0.104241719908025</c:v>
                </c:pt>
                <c:pt idx="17">
                  <c:v>-0.0132257711829844</c:v>
                </c:pt>
                <c:pt idx="18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xVal>
            <c:numRef>
              <c:f>内トロコイド!$D$45:$V$45</c:f>
              <c:numCache>
                <c:formatCode>General</c:formatCode>
                <c:ptCount val="19"/>
                <c:pt idx="0">
                  <c:v>20</c:v>
                </c:pt>
                <c:pt idx="1">
                  <c:v>19.6961550602442</c:v>
                </c:pt>
                <c:pt idx="2">
                  <c:v>18.7938524157182</c:v>
                </c:pt>
                <c:pt idx="3">
                  <c:v>17.3205080756888</c:v>
                </c:pt>
                <c:pt idx="4">
                  <c:v>15.3208888623796</c:v>
                </c:pt>
                <c:pt idx="5">
                  <c:v>12.8557521937308</c:v>
                </c:pt>
                <c:pt idx="6">
                  <c:v>10</c:v>
                </c:pt>
                <c:pt idx="7">
                  <c:v>6.84040286651338</c:v>
                </c:pt>
                <c:pt idx="8">
                  <c:v>3.47296355333861</c:v>
                </c:pt>
                <c:pt idx="9">
                  <c:v>1.22464679914735E-015</c:v>
                </c:pt>
                <c:pt idx="10">
                  <c:v>-3.47296355333861</c:v>
                </c:pt>
                <c:pt idx="11">
                  <c:v>-6.84040286651337</c:v>
                </c:pt>
                <c:pt idx="12">
                  <c:v>-10</c:v>
                </c:pt>
                <c:pt idx="13">
                  <c:v>-12.8557521937308</c:v>
                </c:pt>
                <c:pt idx="14">
                  <c:v>-15.3208888623796</c:v>
                </c:pt>
                <c:pt idx="15">
                  <c:v>-17.3205080756888</c:v>
                </c:pt>
                <c:pt idx="16">
                  <c:v>-18.7938524157182</c:v>
                </c:pt>
                <c:pt idx="17">
                  <c:v>-19.6961550602442</c:v>
                </c:pt>
                <c:pt idx="18">
                  <c:v>-20</c:v>
                </c:pt>
              </c:numCache>
            </c:numRef>
          </c:xVal>
          <c:yVal>
            <c:numRef>
              <c:f>内トロコイド!$D$46:$V$46</c:f>
              <c:numCache>
                <c:formatCode>General</c:formatCode>
                <c:ptCount val="19"/>
                <c:pt idx="0">
                  <c:v>0</c:v>
                </c:pt>
                <c:pt idx="1">
                  <c:v>3.47296355333861</c:v>
                </c:pt>
                <c:pt idx="2">
                  <c:v>6.84040286651337</c:v>
                </c:pt>
                <c:pt idx="3">
                  <c:v>10</c:v>
                </c:pt>
                <c:pt idx="4">
                  <c:v>12.8557521937308</c:v>
                </c:pt>
                <c:pt idx="5">
                  <c:v>15.3208888623796</c:v>
                </c:pt>
                <c:pt idx="6">
                  <c:v>17.3205080756888</c:v>
                </c:pt>
                <c:pt idx="7">
                  <c:v>18.7938524157182</c:v>
                </c:pt>
                <c:pt idx="8">
                  <c:v>19.6961550602442</c:v>
                </c:pt>
                <c:pt idx="9">
                  <c:v>20</c:v>
                </c:pt>
                <c:pt idx="10">
                  <c:v>19.6961550602442</c:v>
                </c:pt>
                <c:pt idx="11">
                  <c:v>18.7938524157182</c:v>
                </c:pt>
                <c:pt idx="12">
                  <c:v>17.3205080756888</c:v>
                </c:pt>
                <c:pt idx="13">
                  <c:v>15.3208888623796</c:v>
                </c:pt>
                <c:pt idx="14">
                  <c:v>12.8557521937308</c:v>
                </c:pt>
                <c:pt idx="15">
                  <c:v>10</c:v>
                </c:pt>
                <c:pt idx="16">
                  <c:v>6.84040286651338</c:v>
                </c:pt>
                <c:pt idx="17">
                  <c:v>3.47296355333861</c:v>
                </c:pt>
                <c:pt idx="18">
                  <c:v>2.44929359829471E-015</c:v>
                </c:pt>
              </c:numCache>
            </c:numRef>
          </c:yVal>
          <c:smooth val="0"/>
        </c:ser>
        <c:ser>
          <c:idx val="6"/>
          <c:order val="6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xVal>
            <c:numRef>
              <c:f>内トロコイド!$D$50:$V$50</c:f>
              <c:numCache>
                <c:formatCode>General</c:formatCode>
                <c:ptCount val="19"/>
                <c:pt idx="0">
                  <c:v>-20</c:v>
                </c:pt>
                <c:pt idx="1">
                  <c:v>-19.6961550602442</c:v>
                </c:pt>
                <c:pt idx="2">
                  <c:v>-18.7938524157182</c:v>
                </c:pt>
                <c:pt idx="3">
                  <c:v>-17.3205080756888</c:v>
                </c:pt>
                <c:pt idx="4">
                  <c:v>-15.3208888623796</c:v>
                </c:pt>
                <c:pt idx="5">
                  <c:v>-12.8557521937308</c:v>
                </c:pt>
                <c:pt idx="6">
                  <c:v>-10</c:v>
                </c:pt>
                <c:pt idx="7">
                  <c:v>-6.84040286651337</c:v>
                </c:pt>
                <c:pt idx="8">
                  <c:v>-3.47296355333861</c:v>
                </c:pt>
                <c:pt idx="9">
                  <c:v>-3.67394039744206E-015</c:v>
                </c:pt>
                <c:pt idx="10">
                  <c:v>3.4729635533386</c:v>
                </c:pt>
                <c:pt idx="11">
                  <c:v>6.84040286651338</c:v>
                </c:pt>
                <c:pt idx="12">
                  <c:v>10</c:v>
                </c:pt>
                <c:pt idx="13">
                  <c:v>12.8557521937308</c:v>
                </c:pt>
                <c:pt idx="14">
                  <c:v>15.3208888623796</c:v>
                </c:pt>
                <c:pt idx="15">
                  <c:v>17.3205080756888</c:v>
                </c:pt>
                <c:pt idx="16">
                  <c:v>18.7938524157182</c:v>
                </c:pt>
                <c:pt idx="17">
                  <c:v>19.6961550602442</c:v>
                </c:pt>
                <c:pt idx="18">
                  <c:v>20</c:v>
                </c:pt>
              </c:numCache>
            </c:numRef>
          </c:xVal>
          <c:yVal>
            <c:numRef>
              <c:f>内トロコイド!$D$51:$V$51</c:f>
              <c:numCache>
                <c:formatCode>General</c:formatCode>
                <c:ptCount val="19"/>
                <c:pt idx="0">
                  <c:v>2.44929359829471E-015</c:v>
                </c:pt>
                <c:pt idx="1">
                  <c:v>-3.47296355333861</c:v>
                </c:pt>
                <c:pt idx="2">
                  <c:v>-6.84040286651337</c:v>
                </c:pt>
                <c:pt idx="3">
                  <c:v>-10</c:v>
                </c:pt>
                <c:pt idx="4">
                  <c:v>-12.8557521937308</c:v>
                </c:pt>
                <c:pt idx="5">
                  <c:v>-15.3208888623796</c:v>
                </c:pt>
                <c:pt idx="6">
                  <c:v>-17.3205080756888</c:v>
                </c:pt>
                <c:pt idx="7">
                  <c:v>-18.7938524157182</c:v>
                </c:pt>
                <c:pt idx="8">
                  <c:v>-19.6961550602442</c:v>
                </c:pt>
                <c:pt idx="9">
                  <c:v>-20</c:v>
                </c:pt>
                <c:pt idx="10">
                  <c:v>-19.6961550602442</c:v>
                </c:pt>
                <c:pt idx="11">
                  <c:v>-18.7938524157182</c:v>
                </c:pt>
                <c:pt idx="12">
                  <c:v>-17.3205080756888</c:v>
                </c:pt>
                <c:pt idx="13">
                  <c:v>-15.3208888623796</c:v>
                </c:pt>
                <c:pt idx="14">
                  <c:v>-12.8557521937308</c:v>
                </c:pt>
                <c:pt idx="15">
                  <c:v>-10</c:v>
                </c:pt>
                <c:pt idx="16">
                  <c:v>-6.84040286651337</c:v>
                </c:pt>
                <c:pt idx="17">
                  <c:v>-3.47296355333861</c:v>
                </c:pt>
                <c:pt idx="18">
                  <c:v>-4.89858719658941E-015</c:v>
                </c:pt>
              </c:numCache>
            </c:numRef>
          </c:yVal>
          <c:smooth val="0"/>
        </c:ser>
        <c:ser>
          <c:idx val="7"/>
          <c:order val="7"/>
          <c:spPr>
            <a:solidFill>
              <a:srgbClr val="4472c4"/>
            </a:solidFill>
            <a:ln w="28800">
              <a:solidFill>
                <a:srgbClr val="4472c4"/>
              </a:solidFill>
              <a:round/>
            </a:ln>
          </c:spPr>
          <c:xVal>
            <c:numRef>
              <c:f>内トロコイド!$D$30:$V$30</c:f>
              <c:numCache>
                <c:formatCode>General</c:formatCode>
                <c:ptCount val="19"/>
                <c:pt idx="0">
                  <c:v>-12</c:v>
                </c:pt>
                <c:pt idx="1">
                  <c:v>-13.8882453969667</c:v>
                </c:pt>
                <c:pt idx="2">
                  <c:v>-15.2763114494309</c:v>
                </c:pt>
                <c:pt idx="3">
                  <c:v>-16.0491590949056</c:v>
                </c:pt>
                <c:pt idx="4">
                  <c:v>-16.1207365477032</c:v>
                </c:pt>
                <c:pt idx="5">
                  <c:v>-15.440857926551</c:v>
                </c:pt>
                <c:pt idx="6">
                  <c:v>-14</c:v>
                </c:pt>
                <c:pt idx="7">
                  <c:v>-11.8316483302206</c:v>
                </c:pt>
                <c:pt idx="8">
                  <c:v>-9.01198136227867</c:v>
                </c:pt>
                <c:pt idx="9">
                  <c:v>-5.65685424949238</c:v>
                </c:pt>
                <c:pt idx="10">
                  <c:v>-1.91622186799684</c:v>
                </c:pt>
                <c:pt idx="11">
                  <c:v>2.03368935908786</c:v>
                </c:pt>
                <c:pt idx="12">
                  <c:v>6</c:v>
                </c:pt>
                <c:pt idx="13">
                  <c:v>9.78400367705863</c:v>
                </c:pt>
                <c:pt idx="14">
                  <c:v>13.1925333174277</c:v>
                </c:pt>
                <c:pt idx="15">
                  <c:v>16.0491590949056</c:v>
                </c:pt>
                <c:pt idx="16">
                  <c:v>18.2045146797064</c:v>
                </c:pt>
                <c:pt idx="17">
                  <c:v>19.545099646459</c:v>
                </c:pt>
                <c:pt idx="18">
                  <c:v>20</c:v>
                </c:pt>
              </c:numCache>
            </c:numRef>
          </c:xVal>
          <c:yVal>
            <c:numRef>
              <c:f>内トロコイド!$D$31:$V$31</c:f>
              <c:numCache>
                <c:formatCode>General</c:formatCode>
                <c:ptCount val="19"/>
                <c:pt idx="0">
                  <c:v>8</c:v>
                </c:pt>
                <c:pt idx="1">
                  <c:v>5.64362847830938</c:v>
                </c:pt>
                <c:pt idx="2">
                  <c:v>2.82396151036748</c:v>
                </c:pt>
                <c:pt idx="3">
                  <c:v>-0.343145750507626</c:v>
                </c:pt>
                <c:pt idx="4">
                  <c:v>-3.71345131623847</c:v>
                </c:pt>
                <c:pt idx="5">
                  <c:v>-7.12198095660757</c:v>
                </c:pt>
                <c:pt idx="6">
                  <c:v>-10.3923048454133</c:v>
                </c:pt>
                <c:pt idx="7">
                  <c:v>-13.3468638102511</c:v>
                </c:pt>
                <c:pt idx="8">
                  <c:v>-15.8176930361465</c:v>
                </c:pt>
                <c:pt idx="9">
                  <c:v>-17.6568542494924</c:v>
                </c:pt>
                <c:pt idx="10">
                  <c:v>-18.745896266422</c:v>
                </c:pt>
                <c:pt idx="11">
                  <c:v>-19.0037180597434</c:v>
                </c:pt>
                <c:pt idx="12">
                  <c:v>-18.3923048454133</c:v>
                </c:pt>
                <c:pt idx="13">
                  <c:v>-16.9199399277403</c:v>
                </c:pt>
                <c:pt idx="14">
                  <c:v>-14.641654546514</c:v>
                </c:pt>
                <c:pt idx="15">
                  <c:v>-11.6568542494924</c:v>
                </c:pt>
                <c:pt idx="16">
                  <c:v>-8.10424171990802</c:v>
                </c:pt>
                <c:pt idx="17">
                  <c:v>-4.15433049282333</c:v>
                </c:pt>
                <c:pt idx="18">
                  <c:v>-5.8783046359073E-015</c:v>
                </c:pt>
              </c:numCache>
            </c:numRef>
          </c:yVal>
          <c:smooth val="0"/>
        </c:ser>
        <c:axId val="23710658"/>
        <c:axId val="6392540"/>
      </c:scatterChart>
      <c:valAx>
        <c:axId val="2371065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6392540"/>
        <c:crosses val="autoZero"/>
      </c:valAx>
      <c:valAx>
        <c:axId val="6392540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crossAx val="23710658"/>
        <c:crosses val="autoZero"/>
      </c:valAx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660240</xdr:colOff>
      <xdr:row>0</xdr:row>
      <xdr:rowOff>73080</xdr:rowOff>
    </xdr:from>
    <xdr:to>
      <xdr:col>15</xdr:col>
      <xdr:colOff>808560</xdr:colOff>
      <xdr:row>16</xdr:row>
      <xdr:rowOff>138240</xdr:rowOff>
    </xdr:to>
    <xdr:graphicFrame>
      <xdr:nvGraphicFramePr>
        <xdr:cNvPr id="0" name="グラフ 1"/>
        <xdr:cNvGraphicFramePr/>
      </xdr:nvGraphicFramePr>
      <xdr:xfrm>
        <a:off x="7952400" y="73080"/>
        <a:ext cx="5009760" cy="2732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558000</xdr:colOff>
      <xdr:row>0</xdr:row>
      <xdr:rowOff>96840</xdr:rowOff>
    </xdr:from>
    <xdr:to>
      <xdr:col>16</xdr:col>
      <xdr:colOff>263520</xdr:colOff>
      <xdr:row>16</xdr:row>
      <xdr:rowOff>151200</xdr:rowOff>
    </xdr:to>
    <xdr:graphicFrame>
      <xdr:nvGraphicFramePr>
        <xdr:cNvPr id="1" name="グラフ 1"/>
        <xdr:cNvGraphicFramePr/>
      </xdr:nvGraphicFramePr>
      <xdr:xfrm>
        <a:off x="7850160" y="96840"/>
        <a:ext cx="5377320" cy="2711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749880</xdr:colOff>
      <xdr:row>1</xdr:row>
      <xdr:rowOff>15840</xdr:rowOff>
    </xdr:from>
    <xdr:to>
      <xdr:col>16</xdr:col>
      <xdr:colOff>85680</xdr:colOff>
      <xdr:row>17</xdr:row>
      <xdr:rowOff>80280</xdr:rowOff>
    </xdr:to>
    <xdr:graphicFrame>
      <xdr:nvGraphicFramePr>
        <xdr:cNvPr id="2" name="グラフ 1"/>
        <xdr:cNvGraphicFramePr/>
      </xdr:nvGraphicFramePr>
      <xdr:xfrm>
        <a:off x="8042040" y="168120"/>
        <a:ext cx="5007600" cy="2731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335160</xdr:colOff>
      <xdr:row>2</xdr:row>
      <xdr:rowOff>118800</xdr:rowOff>
    </xdr:from>
    <xdr:to>
      <xdr:col>13</xdr:col>
      <xdr:colOff>698760</xdr:colOff>
      <xdr:row>18</xdr:row>
      <xdr:rowOff>102600</xdr:rowOff>
    </xdr:to>
    <xdr:graphicFrame>
      <xdr:nvGraphicFramePr>
        <xdr:cNvPr id="3" name="グラフ 2"/>
        <xdr:cNvGraphicFramePr/>
      </xdr:nvGraphicFramePr>
      <xdr:xfrm>
        <a:off x="6816960" y="528120"/>
        <a:ext cx="4415040" cy="242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784080</xdr:colOff>
      <xdr:row>0</xdr:row>
      <xdr:rowOff>123840</xdr:rowOff>
    </xdr:from>
    <xdr:to>
      <xdr:col>15</xdr:col>
      <xdr:colOff>40680</xdr:colOff>
      <xdr:row>19</xdr:row>
      <xdr:rowOff>145440</xdr:rowOff>
    </xdr:to>
    <xdr:graphicFrame>
      <xdr:nvGraphicFramePr>
        <xdr:cNvPr id="4" name="グラフ 3"/>
        <xdr:cNvGraphicFramePr/>
      </xdr:nvGraphicFramePr>
      <xdr:xfrm>
        <a:off x="6455880" y="123840"/>
        <a:ext cx="5738400" cy="3088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655200</xdr:colOff>
      <xdr:row>1</xdr:row>
      <xdr:rowOff>38160</xdr:rowOff>
    </xdr:from>
    <xdr:to>
      <xdr:col>14</xdr:col>
      <xdr:colOff>725400</xdr:colOff>
      <xdr:row>20</xdr:row>
      <xdr:rowOff>59400</xdr:rowOff>
    </xdr:to>
    <xdr:graphicFrame>
      <xdr:nvGraphicFramePr>
        <xdr:cNvPr id="5" name="グラフ 4"/>
        <xdr:cNvGraphicFramePr/>
      </xdr:nvGraphicFramePr>
      <xdr:xfrm>
        <a:off x="6327000" y="200520"/>
        <a:ext cx="5742000" cy="3078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655200</xdr:colOff>
      <xdr:row>1</xdr:row>
      <xdr:rowOff>48600</xdr:rowOff>
    </xdr:from>
    <xdr:to>
      <xdr:col>14</xdr:col>
      <xdr:colOff>725400</xdr:colOff>
      <xdr:row>20</xdr:row>
      <xdr:rowOff>27720</xdr:rowOff>
    </xdr:to>
    <xdr:graphicFrame>
      <xdr:nvGraphicFramePr>
        <xdr:cNvPr id="6" name="グラフ 4"/>
        <xdr:cNvGraphicFramePr/>
      </xdr:nvGraphicFramePr>
      <xdr:xfrm>
        <a:off x="6327000" y="210960"/>
        <a:ext cx="5742000" cy="3076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655200</xdr:colOff>
      <xdr:row>1</xdr:row>
      <xdr:rowOff>48600</xdr:rowOff>
    </xdr:from>
    <xdr:to>
      <xdr:col>14</xdr:col>
      <xdr:colOff>725400</xdr:colOff>
      <xdr:row>20</xdr:row>
      <xdr:rowOff>17280</xdr:rowOff>
    </xdr:to>
    <xdr:graphicFrame>
      <xdr:nvGraphicFramePr>
        <xdr:cNvPr id="7" name="グラフ 4"/>
        <xdr:cNvGraphicFramePr/>
      </xdr:nvGraphicFramePr>
      <xdr:xfrm>
        <a:off x="6327000" y="210960"/>
        <a:ext cx="5742000" cy="3076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2:M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0" width="10.1396396396396"/>
  </cols>
  <sheetData>
    <row r="2" customFormat="false" ht="20.25" hidden="false" customHeight="false" outlineLevel="0" collapsed="false">
      <c r="B2" s="1" t="s">
        <v>0</v>
      </c>
    </row>
    <row r="4" customFormat="false" ht="12.75" hidden="false" customHeight="false" outlineLevel="0" collapsed="false">
      <c r="B4" s="2" t="s">
        <v>1</v>
      </c>
      <c r="C4" s="2"/>
      <c r="D4" s="2" t="s">
        <v>2</v>
      </c>
      <c r="E4" s="2"/>
      <c r="F4" s="3" t="s">
        <v>3</v>
      </c>
      <c r="G4" s="3"/>
      <c r="H4" s="3" t="s">
        <v>4</v>
      </c>
      <c r="I4" s="3"/>
    </row>
    <row r="5" customFormat="false" ht="12.75" hidden="false" customHeight="false" outlineLevel="0" collapsed="false">
      <c r="B5" s="4" t="s">
        <v>5</v>
      </c>
      <c r="C5" s="4" t="s">
        <v>6</v>
      </c>
      <c r="D5" s="4" t="s">
        <v>5</v>
      </c>
      <c r="E5" s="4" t="s">
        <v>6</v>
      </c>
      <c r="F5" s="5" t="s">
        <v>5</v>
      </c>
      <c r="G5" s="5" t="s">
        <v>6</v>
      </c>
      <c r="H5" s="5" t="s">
        <v>5</v>
      </c>
      <c r="I5" s="5" t="s">
        <v>6</v>
      </c>
    </row>
    <row r="6" customFormat="false" ht="12.75" hidden="false" customHeight="false" outlineLevel="0" collapsed="false">
      <c r="B6" s="6" t="n">
        <v>0</v>
      </c>
      <c r="C6" s="6" t="n">
        <v>0</v>
      </c>
      <c r="D6" s="6" t="n">
        <v>0</v>
      </c>
      <c r="E6" s="6" t="n">
        <v>100</v>
      </c>
      <c r="F6" s="7" t="n">
        <v>100</v>
      </c>
      <c r="G6" s="7" t="n">
        <v>0</v>
      </c>
      <c r="H6" s="7" t="n">
        <v>100</v>
      </c>
      <c r="I6" s="7" t="n">
        <v>100</v>
      </c>
    </row>
    <row r="8" customFormat="false" ht="12.75" hidden="false" customHeight="false" outlineLevel="0" collapsed="false">
      <c r="B8" s="8" t="s">
        <v>7</v>
      </c>
      <c r="C8" s="8"/>
    </row>
    <row r="9" customFormat="false" ht="12.75" hidden="false" customHeight="false" outlineLevel="0" collapsed="false">
      <c r="B9" s="9" t="n">
        <v>0.75</v>
      </c>
      <c r="C9" s="9"/>
    </row>
    <row r="11" customFormat="false" ht="15" hidden="false" customHeight="false" outlineLevel="0" collapsed="false">
      <c r="B11" s="10" t="s">
        <v>8</v>
      </c>
    </row>
    <row r="13" customFormat="false" ht="12.75" hidden="false" customHeight="false" outlineLevel="0" collapsed="false">
      <c r="B13" s="11" t="s">
        <v>5</v>
      </c>
      <c r="C13" s="11" t="s">
        <v>6</v>
      </c>
      <c r="E13" s="12" t="s">
        <v>9</v>
      </c>
      <c r="F13" s="12"/>
      <c r="G13" s="12"/>
      <c r="H13" s="12"/>
    </row>
    <row r="14" customFormat="false" ht="12.75" hidden="false" customHeight="false" outlineLevel="0" collapsed="false">
      <c r="B14" s="9" t="n">
        <f aca="false">$G$14+($G$15-$G$14)*$B$9</f>
        <v>84.375</v>
      </c>
      <c r="C14" s="9" t="n">
        <f aca="false">$H$14+($H$15-$H$14)*$B$9</f>
        <v>56.25</v>
      </c>
      <c r="E14" s="13" t="n">
        <f aca="false">$B$6+($D$6-$B$6)*$B$9</f>
        <v>0</v>
      </c>
      <c r="F14" s="13" t="n">
        <f aca="false">$C$6+($E$6-$C$6)*$B$9</f>
        <v>75</v>
      </c>
      <c r="G14" s="13" t="n">
        <f aca="false">$E$14+($E$15-$E$14)*$B$9</f>
        <v>56.25</v>
      </c>
      <c r="H14" s="13" t="n">
        <f aca="false">$F$14+($F$15-$F$14)*$B$9</f>
        <v>37.5</v>
      </c>
    </row>
    <row r="15" customFormat="false" ht="12.75" hidden="false" customHeight="false" outlineLevel="0" collapsed="false">
      <c r="E15" s="13" t="n">
        <f aca="false">$D$6+($F$6-$D$6)*$B$9</f>
        <v>75</v>
      </c>
      <c r="F15" s="13" t="n">
        <f aca="false">$E$6+($G$6-$E$6)*$B$9</f>
        <v>25</v>
      </c>
      <c r="G15" s="13" t="n">
        <f aca="false">$E$15+($E$16-$E$15)*$B$9</f>
        <v>93.75</v>
      </c>
      <c r="H15" s="13" t="n">
        <f aca="false">$F$15+($F$16-$F$15)*$B$9</f>
        <v>62.5</v>
      </c>
    </row>
    <row r="16" customFormat="false" ht="12.75" hidden="false" customHeight="false" outlineLevel="0" collapsed="false">
      <c r="E16" s="13" t="n">
        <f aca="false">$F$6+($H$6-$F$6)*$B$9</f>
        <v>100</v>
      </c>
      <c r="F16" s="13" t="n">
        <f aca="false">$G$6+($I$6-$G$6)*$B$9</f>
        <v>75</v>
      </c>
      <c r="G16" s="13"/>
      <c r="H16" s="13"/>
    </row>
    <row r="19" customFormat="false" ht="12" hidden="false" customHeight="false" outlineLevel="0" collapsed="false">
      <c r="B19" s="0" t="s">
        <v>10</v>
      </c>
    </row>
    <row r="21" customFormat="false" ht="12" hidden="false" customHeight="false" outlineLevel="0" collapsed="false">
      <c r="B21" s="14" t="s">
        <v>11</v>
      </c>
      <c r="C21" s="14" t="n">
        <v>0</v>
      </c>
      <c r="D21" s="14" t="n">
        <v>0.1</v>
      </c>
      <c r="E21" s="14" t="n">
        <v>0.2</v>
      </c>
      <c r="F21" s="14" t="n">
        <v>0.3</v>
      </c>
      <c r="G21" s="14" t="n">
        <v>0.4</v>
      </c>
      <c r="H21" s="14" t="n">
        <v>0.5</v>
      </c>
      <c r="I21" s="14" t="n">
        <v>0.6</v>
      </c>
      <c r="J21" s="14" t="n">
        <v>0.7</v>
      </c>
      <c r="K21" s="14" t="n">
        <v>0.8</v>
      </c>
      <c r="L21" s="14" t="n">
        <v>0.9</v>
      </c>
      <c r="M21" s="14" t="n">
        <v>1</v>
      </c>
    </row>
    <row r="22" customFormat="false" ht="12.75" hidden="false" customHeight="false" outlineLevel="0" collapsed="false">
      <c r="B22" s="14" t="s">
        <v>5</v>
      </c>
      <c r="C22" s="15" t="n">
        <f aca="false">$D$26+($D$27-$D$26)*$C$21</f>
        <v>0</v>
      </c>
      <c r="D22" s="16" t="n">
        <f aca="false">$D$29+($D$30-$D$29)*$D$21</f>
        <v>2.8</v>
      </c>
      <c r="E22" s="17" t="n">
        <f aca="false">$D$32+($D$33-$D$32)*$E$21</f>
        <v>10.4</v>
      </c>
      <c r="F22" s="16" t="n">
        <f aca="false">$D$35+($D$36-$D$35)*$F$21</f>
        <v>21.6</v>
      </c>
      <c r="G22" s="17" t="n">
        <f aca="false">$D$38+($D$39-$D$38)*$G$21</f>
        <v>35.2</v>
      </c>
      <c r="H22" s="17" t="n">
        <f aca="false">$H$26+($H$27-$H$26)*$H$21</f>
        <v>50</v>
      </c>
      <c r="I22" s="17" t="n">
        <f aca="false">$H$29+($H$30-$H$29)*$I$21</f>
        <v>64.8</v>
      </c>
      <c r="J22" s="17" t="n">
        <f aca="false">$H$32+($H$33-$H$32)*$J$21</f>
        <v>78.4</v>
      </c>
      <c r="K22" s="17" t="n">
        <f aca="false">$H$35+($H$36-$H$35)*$K$21</f>
        <v>89.6</v>
      </c>
      <c r="L22" s="17" t="n">
        <f aca="false">$H$38+($H$39-$H$38)*$L$21</f>
        <v>97.2</v>
      </c>
      <c r="M22" s="16" t="n">
        <f aca="false">$H$41+($H$42-$H$41)*$M$21</f>
        <v>100</v>
      </c>
    </row>
    <row r="23" customFormat="false" ht="12.75" hidden="false" customHeight="false" outlineLevel="0" collapsed="false">
      <c r="B23" s="14" t="s">
        <v>6</v>
      </c>
      <c r="C23" s="15" t="n">
        <f aca="false">$E$26+($E$27-$E$26)*$C$21</f>
        <v>0</v>
      </c>
      <c r="D23" s="16" t="n">
        <f aca="false">$E$29+($E$30-$E$29)*$D$21</f>
        <v>24.4</v>
      </c>
      <c r="E23" s="16" t="n">
        <f aca="false">$E$32+($E$33-$E$32)*$E$21</f>
        <v>39.2</v>
      </c>
      <c r="F23" s="16" t="n">
        <f aca="false">$E$35+($E$36-$E$35)*$F$21</f>
        <v>46.8</v>
      </c>
      <c r="G23" s="17" t="n">
        <f aca="false">$E$38+($E$39-$E$38)*$G$21</f>
        <v>49.6</v>
      </c>
      <c r="H23" s="16" t="n">
        <f aca="false">$I$26+($I$27-$I$26)*$H$21</f>
        <v>50</v>
      </c>
      <c r="I23" s="16" t="n">
        <f aca="false">$I$29+($I$30-$I$29)*$I$21</f>
        <v>50.4</v>
      </c>
      <c r="J23" s="16" t="n">
        <f aca="false">$I$32+($I$33-$I$32)*$J$21</f>
        <v>53.2</v>
      </c>
      <c r="K23" s="16" t="n">
        <f aca="false">$I$35+($I$36-$I$35)*$K$21</f>
        <v>60.8</v>
      </c>
      <c r="L23" s="16" t="n">
        <f aca="false">$I$38+($I$39-$I$38)*$L$21</f>
        <v>75.6</v>
      </c>
      <c r="M23" s="16" t="n">
        <f aca="false">$I$41+($I$42-$I$41)*$M$21</f>
        <v>100</v>
      </c>
    </row>
    <row r="25" customFormat="false" ht="12" hidden="false" customHeight="false" outlineLevel="0" collapsed="false">
      <c r="B25" s="12" t="s">
        <v>12</v>
      </c>
      <c r="C25" s="12"/>
      <c r="D25" s="12"/>
      <c r="E25" s="12"/>
      <c r="F25" s="12"/>
      <c r="G25" s="12"/>
      <c r="H25" s="12"/>
      <c r="I25" s="12"/>
    </row>
    <row r="26" customFormat="false" ht="12.75" hidden="false" customHeight="false" outlineLevel="0" collapsed="false">
      <c r="B26" s="13" t="n">
        <f aca="false">$B$6+($D$6-$B$6)*$C$21</f>
        <v>0</v>
      </c>
      <c r="C26" s="13" t="n">
        <f aca="false">$C$6+($E$6-$C$6)*$C$21</f>
        <v>0</v>
      </c>
      <c r="D26" s="18" t="n">
        <f aca="false">B26+(B27-B26)*$C$21</f>
        <v>0</v>
      </c>
      <c r="E26" s="18" t="n">
        <f aca="false">C26+(C27-C26)*$C$21</f>
        <v>0</v>
      </c>
      <c r="F26" s="13" t="n">
        <f aca="false">$B$6+($D$6-$B$6)*$H$21</f>
        <v>0</v>
      </c>
      <c r="G26" s="13" t="n">
        <f aca="false">$C$6+($E$6-$C$6)*$H$21</f>
        <v>50</v>
      </c>
      <c r="H26" s="18" t="n">
        <f aca="false">F26+(F27-F26)*$H$21</f>
        <v>25</v>
      </c>
      <c r="I26" s="18" t="n">
        <f aca="false">G26+(G27-G26)*$H$21</f>
        <v>50</v>
      </c>
    </row>
    <row r="27" customFormat="false" ht="12.75" hidden="false" customHeight="false" outlineLevel="0" collapsed="false">
      <c r="B27" s="18" t="n">
        <f aca="false">$D$6+($F$6-$D$6)*$C$21</f>
        <v>0</v>
      </c>
      <c r="C27" s="18" t="n">
        <f aca="false">$E$6+($G$6-$E$6)*$C$21</f>
        <v>100</v>
      </c>
      <c r="D27" s="13" t="n">
        <f aca="false">B27+(B28-B27)*$C$21</f>
        <v>0</v>
      </c>
      <c r="E27" s="18" t="n">
        <f aca="false">C27+(C28-C27)*$C$21</f>
        <v>100</v>
      </c>
      <c r="F27" s="18" t="n">
        <f aca="false">$D$6+($F$6-$D$6)*$H$21</f>
        <v>50</v>
      </c>
      <c r="G27" s="18" t="n">
        <f aca="false">$E$6+($G$6-$E$6)*$H$21</f>
        <v>50</v>
      </c>
      <c r="H27" s="13" t="n">
        <f aca="false">F27+(F28-F27)*$H$21</f>
        <v>75</v>
      </c>
      <c r="I27" s="18" t="n">
        <f aca="false">G27+(G28-G27)*$H$21</f>
        <v>50</v>
      </c>
    </row>
    <row r="28" customFormat="false" ht="12" hidden="false" customHeight="false" outlineLevel="0" collapsed="false">
      <c r="B28" s="18" t="n">
        <f aca="false">$F$6+($H$6-$F$6)*$C$21</f>
        <v>100</v>
      </c>
      <c r="C28" s="18" t="n">
        <f aca="false">$G$6+($I$6-$G$6)*$C$21</f>
        <v>0</v>
      </c>
      <c r="D28" s="18"/>
      <c r="E28" s="18"/>
      <c r="F28" s="18" t="n">
        <f aca="false">$F$6+($H$6-$F$6)*$H$21</f>
        <v>100</v>
      </c>
      <c r="G28" s="18" t="n">
        <f aca="false">$G$6+($I$6-$G$6)*$H$21</f>
        <v>50</v>
      </c>
      <c r="H28" s="18"/>
      <c r="I28" s="18"/>
    </row>
    <row r="29" customFormat="false" ht="12.75" hidden="false" customHeight="false" outlineLevel="0" collapsed="false">
      <c r="B29" s="13" t="n">
        <f aca="false">$B$6+($D$6-$B$6)*$D$21</f>
        <v>0</v>
      </c>
      <c r="C29" s="13" t="n">
        <f aca="false">$C$6+($E$6-$C$6)*$D$21</f>
        <v>10</v>
      </c>
      <c r="D29" s="18" t="n">
        <f aca="false">B29+(B30-B29)*$D$21</f>
        <v>1</v>
      </c>
      <c r="E29" s="18" t="n">
        <f aca="false">C29+(C30-C29)*$D$21</f>
        <v>18</v>
      </c>
      <c r="F29" s="13" t="n">
        <f aca="false">$B$6+($D$6-$B$6)*$I$21</f>
        <v>0</v>
      </c>
      <c r="G29" s="13" t="n">
        <f aca="false">$C$6+($E$6-$C$6)*$I$21</f>
        <v>60</v>
      </c>
      <c r="H29" s="18" t="n">
        <f aca="false">F29+(F30-F29)*$I$21</f>
        <v>36</v>
      </c>
      <c r="I29" s="18" t="n">
        <f aca="false">G29+(G30-G29)*$I$21</f>
        <v>48</v>
      </c>
    </row>
    <row r="30" customFormat="false" ht="12.75" hidden="false" customHeight="false" outlineLevel="0" collapsed="false">
      <c r="B30" s="18" t="n">
        <f aca="false">$D$6+($F$6-$D$6)*$D$21</f>
        <v>10</v>
      </c>
      <c r="C30" s="13" t="n">
        <f aca="false">$E$6+($G$6-$E$6)*$D$21</f>
        <v>90</v>
      </c>
      <c r="D30" s="18" t="n">
        <f aca="false">B30+(B31-B30)*$D$21</f>
        <v>19</v>
      </c>
      <c r="E30" s="18" t="n">
        <f aca="false">C30+(C31-C30)*$D$21</f>
        <v>82</v>
      </c>
      <c r="F30" s="18" t="n">
        <f aca="false">$D$6+($F$6-$D$6)*$I$21</f>
        <v>60</v>
      </c>
      <c r="G30" s="18" t="n">
        <f aca="false">$E$6+($G$6-$E$6)*$I$21</f>
        <v>40</v>
      </c>
      <c r="H30" s="13" t="n">
        <f aca="false">F30+(F31-F30)*$I$21</f>
        <v>84</v>
      </c>
      <c r="I30" s="18" t="n">
        <f aca="false">G30+(G31-G30)*$I$21</f>
        <v>52</v>
      </c>
    </row>
    <row r="31" customFormat="false" ht="12.75" hidden="false" customHeight="false" outlineLevel="0" collapsed="false">
      <c r="B31" s="13" t="n">
        <f aca="false">$F$6+($H$6-$F$6)*$D$21</f>
        <v>100</v>
      </c>
      <c r="C31" s="19" t="n">
        <f aca="false">$G$6+($I$6-$G$6)*$D$21</f>
        <v>10</v>
      </c>
      <c r="D31" s="18"/>
      <c r="E31" s="18"/>
      <c r="F31" s="18" t="n">
        <f aca="false">$F$6+($H$6-$F$6)*$I$21</f>
        <v>100</v>
      </c>
      <c r="G31" s="18" t="n">
        <f aca="false">$G$6+($I$6-$G$6)*$I$21</f>
        <v>60</v>
      </c>
      <c r="H31" s="18"/>
      <c r="I31" s="18"/>
    </row>
    <row r="32" customFormat="false" ht="12.75" hidden="false" customHeight="false" outlineLevel="0" collapsed="false">
      <c r="B32" s="13" t="n">
        <f aca="false">$B$6+($D$6-$B$6)*$E$21</f>
        <v>0</v>
      </c>
      <c r="C32" s="13" t="n">
        <f aca="false">$C$6+($E$6-$C$6)*$E$21</f>
        <v>20</v>
      </c>
      <c r="D32" s="18" t="n">
        <f aca="false">B32+(B33-B32)*$E$21</f>
        <v>4</v>
      </c>
      <c r="E32" s="18" t="n">
        <f aca="false">C32+(C33-C32)*$E$21</f>
        <v>32</v>
      </c>
      <c r="F32" s="13" t="n">
        <f aca="false">$B$6+($D$6-$B$6)*$J$21</f>
        <v>0</v>
      </c>
      <c r="G32" s="13" t="n">
        <f aca="false">$C$6+($E$6-$C$6)*$J$21</f>
        <v>70</v>
      </c>
      <c r="H32" s="18" t="n">
        <f aca="false">F32+(F33-F32)*$J$21</f>
        <v>49</v>
      </c>
      <c r="I32" s="18" t="n">
        <f aca="false">G32+(G33-G32)*$J$21</f>
        <v>42</v>
      </c>
    </row>
    <row r="33" customFormat="false" ht="12.75" hidden="false" customHeight="false" outlineLevel="0" collapsed="false">
      <c r="B33" s="18" t="n">
        <f aca="false">$D$6+($F$6-$D$6)*$E$21</f>
        <v>20</v>
      </c>
      <c r="C33" s="13" t="n">
        <f aca="false">$E$6+($G$6-$E$6)*$E$21</f>
        <v>80</v>
      </c>
      <c r="D33" s="18" t="n">
        <f aca="false">B33+(B34-B33)*$E$21</f>
        <v>36</v>
      </c>
      <c r="E33" s="18" t="n">
        <f aca="false">C33+(C34-C33)*$E$21</f>
        <v>68</v>
      </c>
      <c r="F33" s="18" t="n">
        <f aca="false">$D$6+($F$6-$D$6)*$J$21</f>
        <v>70</v>
      </c>
      <c r="G33" s="18" t="n">
        <f aca="false">$E$6+($G$6-$E$6)*$J$21</f>
        <v>30</v>
      </c>
      <c r="H33" s="13" t="n">
        <f aca="false">F33+(F34-F33)*$J$21</f>
        <v>91</v>
      </c>
      <c r="I33" s="18" t="n">
        <f aca="false">G33+(G34-G33)*$J$21</f>
        <v>58</v>
      </c>
    </row>
    <row r="34" customFormat="false" ht="12.75" hidden="false" customHeight="false" outlineLevel="0" collapsed="false">
      <c r="B34" s="13" t="n">
        <f aca="false">$F$6+($H$6-$F$6)*$E$21</f>
        <v>100</v>
      </c>
      <c r="C34" s="19" t="n">
        <f aca="false">$G$6+($I$6-$G$6)*$E$21</f>
        <v>20</v>
      </c>
      <c r="D34" s="18"/>
      <c r="E34" s="18"/>
      <c r="F34" s="18" t="n">
        <f aca="false">$F$6+($H$6-$F$6)*$J$21</f>
        <v>100</v>
      </c>
      <c r="G34" s="18" t="n">
        <f aca="false">$G$6+($I$6-$G$6)*$J$21</f>
        <v>70</v>
      </c>
      <c r="H34" s="18"/>
      <c r="I34" s="18"/>
    </row>
    <row r="35" customFormat="false" ht="12.75" hidden="false" customHeight="false" outlineLevel="0" collapsed="false">
      <c r="B35" s="13" t="n">
        <f aca="false">$B$6+($D$6-$B$6)*$F$21</f>
        <v>0</v>
      </c>
      <c r="C35" s="13" t="n">
        <f aca="false">$C$6+($E$6-$C$6)*$F$21</f>
        <v>30</v>
      </c>
      <c r="D35" s="18" t="n">
        <f aca="false">B35+(B36-B35)*$F$21</f>
        <v>9</v>
      </c>
      <c r="E35" s="18" t="n">
        <f aca="false">C35+(C36-C35)*$F$21</f>
        <v>42</v>
      </c>
      <c r="F35" s="13" t="n">
        <f aca="false">$B$6+($D$6-$B$6)*$K$21</f>
        <v>0</v>
      </c>
      <c r="G35" s="13" t="n">
        <f aca="false">$C$6+($E$6-$C$6)*$K$21</f>
        <v>80</v>
      </c>
      <c r="H35" s="18" t="n">
        <f aca="false">F35+(F36-F35)*$K$21</f>
        <v>64</v>
      </c>
      <c r="I35" s="18" t="n">
        <f aca="false">G35+(G36-G35)*$K$21</f>
        <v>32</v>
      </c>
    </row>
    <row r="36" customFormat="false" ht="12.75" hidden="false" customHeight="false" outlineLevel="0" collapsed="false">
      <c r="B36" s="18" t="n">
        <f aca="false">$D$6+($F$6-$D$6)*$F$21</f>
        <v>30</v>
      </c>
      <c r="C36" s="13" t="n">
        <f aca="false">$E$6+($G$6-$E$6)*$F$21</f>
        <v>70</v>
      </c>
      <c r="D36" s="18" t="n">
        <f aca="false">B36+(B37-B36)*$F$21</f>
        <v>51</v>
      </c>
      <c r="E36" s="18" t="n">
        <f aca="false">C36+(C37-C36)*$F$21</f>
        <v>58</v>
      </c>
      <c r="F36" s="18" t="n">
        <f aca="false">$D$6+($F$6-$D$6)*$K$21</f>
        <v>80</v>
      </c>
      <c r="G36" s="18" t="n">
        <f aca="false">$E$6+($G$6-$E$6)*$K$21</f>
        <v>20</v>
      </c>
      <c r="H36" s="13" t="n">
        <f aca="false">F36+(F37-F36)*$K$21</f>
        <v>96</v>
      </c>
      <c r="I36" s="18" t="n">
        <f aca="false">G36+(G37-G36)*$K$21</f>
        <v>68</v>
      </c>
    </row>
    <row r="37" customFormat="false" ht="12.75" hidden="false" customHeight="false" outlineLevel="0" collapsed="false">
      <c r="B37" s="13" t="n">
        <f aca="false">$F$6+($H$6-$F$6)*$F$21</f>
        <v>100</v>
      </c>
      <c r="C37" s="19" t="n">
        <f aca="false">$G$6+($I$6-$G$6)*$F$21</f>
        <v>30</v>
      </c>
      <c r="D37" s="18"/>
      <c r="E37" s="18"/>
      <c r="F37" s="18" t="n">
        <f aca="false">$F$6+($H$6-$F$6)*$K$21</f>
        <v>100</v>
      </c>
      <c r="G37" s="18" t="n">
        <f aca="false">$G$6+($I$6-$G$6)*$K$21</f>
        <v>80</v>
      </c>
      <c r="H37" s="18"/>
      <c r="I37" s="18"/>
    </row>
    <row r="38" customFormat="false" ht="12.75" hidden="false" customHeight="false" outlineLevel="0" collapsed="false">
      <c r="B38" s="13" t="n">
        <f aca="false">$B$6+($D$6-$B$6)*$G$21</f>
        <v>0</v>
      </c>
      <c r="C38" s="13" t="n">
        <f aca="false">$C$6+($E$6-$C$6)*$G$21</f>
        <v>40</v>
      </c>
      <c r="D38" s="18" t="n">
        <f aca="false">B38+(B39-B38)*$G$21</f>
        <v>16</v>
      </c>
      <c r="E38" s="18" t="n">
        <f aca="false">C38+(C39-C38)*$G$21</f>
        <v>48</v>
      </c>
      <c r="F38" s="13" t="n">
        <f aca="false">$B$6+($D$6-$B$6)*$L$21</f>
        <v>0</v>
      </c>
      <c r="G38" s="13" t="n">
        <f aca="false">$C$6+($E$6-$C$6)*$L$21</f>
        <v>90</v>
      </c>
      <c r="H38" s="18" t="n">
        <f aca="false">F38+(F39-F38)*$L$21</f>
        <v>81</v>
      </c>
      <c r="I38" s="18" t="n">
        <f aca="false">G38+(G39-G38)*$L$21</f>
        <v>18</v>
      </c>
    </row>
    <row r="39" customFormat="false" ht="12.75" hidden="false" customHeight="false" outlineLevel="0" collapsed="false">
      <c r="B39" s="18" t="n">
        <f aca="false">$D$6+($F$6-$D$6)*$G$21</f>
        <v>40</v>
      </c>
      <c r="C39" s="13" t="n">
        <f aca="false">$E$6+($G$6-$E$6)*$G$21</f>
        <v>60</v>
      </c>
      <c r="D39" s="18" t="n">
        <f aca="false">B39+(B40-B39)*$G$21</f>
        <v>64</v>
      </c>
      <c r="E39" s="18" t="n">
        <f aca="false">C39+(C40-C39)*$G$21</f>
        <v>52</v>
      </c>
      <c r="F39" s="18" t="n">
        <f aca="false">$D$6+($F$6-$D$6)*$L$21</f>
        <v>90</v>
      </c>
      <c r="G39" s="18" t="n">
        <f aca="false">$E$6+($G$6-$E$6)*$L$21</f>
        <v>10</v>
      </c>
      <c r="H39" s="13" t="n">
        <f aca="false">F39+(F40-F39)*$L$21</f>
        <v>99</v>
      </c>
      <c r="I39" s="18" t="n">
        <f aca="false">G39+(G40-G39)*$L$21</f>
        <v>82</v>
      </c>
    </row>
    <row r="40" customFormat="false" ht="12.75" hidden="false" customHeight="false" outlineLevel="0" collapsed="false">
      <c r="B40" s="13" t="n">
        <f aca="false">$F$6+($H$6-$F$6)*$G$21</f>
        <v>100</v>
      </c>
      <c r="C40" s="19" t="n">
        <f aca="false">$G$6+($I$6-$G$6)*$G$21</f>
        <v>40</v>
      </c>
      <c r="D40" s="18"/>
      <c r="E40" s="18"/>
      <c r="F40" s="18" t="n">
        <f aca="false">$F$6+($H$6-$F$6)*$L$21</f>
        <v>100</v>
      </c>
      <c r="G40" s="18" t="n">
        <f aca="false">$G$6+($I$6-$G$6)*$L$21</f>
        <v>90</v>
      </c>
      <c r="H40" s="18"/>
      <c r="I40" s="18"/>
    </row>
    <row r="41" customFormat="false" ht="12.75" hidden="false" customHeight="false" outlineLevel="0" collapsed="false">
      <c r="B41" s="18"/>
      <c r="C41" s="18"/>
      <c r="D41" s="18"/>
      <c r="E41" s="18"/>
      <c r="F41" s="13" t="n">
        <f aca="false">$B$6+($D$6-$B$6)*$M$21</f>
        <v>0</v>
      </c>
      <c r="G41" s="13" t="n">
        <f aca="false">$C$6+($E$6-$C$6)*$M$21</f>
        <v>100</v>
      </c>
      <c r="H41" s="18" t="n">
        <f aca="false">F41+(F42-F41)*$M$21</f>
        <v>100</v>
      </c>
      <c r="I41" s="18" t="n">
        <f aca="false">G41+(G42-G41)*$M$21</f>
        <v>0</v>
      </c>
    </row>
    <row r="42" customFormat="false" ht="12.75" hidden="false" customHeight="false" outlineLevel="0" collapsed="false">
      <c r="B42" s="18"/>
      <c r="C42" s="18"/>
      <c r="D42" s="18"/>
      <c r="E42" s="18"/>
      <c r="F42" s="18" t="n">
        <f aca="false">$D$6+($F$6-$D$6)*$M$21</f>
        <v>100</v>
      </c>
      <c r="G42" s="18" t="n">
        <f aca="false">$E$6+($G$6-$E$6)*$M$21</f>
        <v>0</v>
      </c>
      <c r="H42" s="13" t="n">
        <f aca="false">F42+(F43-F42)*$M$21</f>
        <v>100</v>
      </c>
      <c r="I42" s="18" t="n">
        <f aca="false">G42+(G43-G42)*$M$21</f>
        <v>100</v>
      </c>
    </row>
    <row r="43" customFormat="false" ht="12" hidden="false" customHeight="false" outlineLevel="0" collapsed="false">
      <c r="B43" s="18"/>
      <c r="C43" s="18"/>
      <c r="D43" s="18"/>
      <c r="E43" s="18"/>
      <c r="F43" s="18" t="n">
        <f aca="false">$F$6+($H$6-$F$6)*$M$21</f>
        <v>100</v>
      </c>
      <c r="G43" s="18" t="n">
        <f aca="false">$G$6+($I$6-$G$6)*$M$21</f>
        <v>100</v>
      </c>
      <c r="H43" s="18"/>
      <c r="I43" s="18"/>
    </row>
  </sheetData>
  <mergeCells count="8">
    <mergeCell ref="B4:C4"/>
    <mergeCell ref="D4:E4"/>
    <mergeCell ref="F4:G4"/>
    <mergeCell ref="H4:I4"/>
    <mergeCell ref="B8:C8"/>
    <mergeCell ref="B9:C9"/>
    <mergeCell ref="E13:H13"/>
    <mergeCell ref="B25:I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2:M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0" width="10.1396396396396"/>
  </cols>
  <sheetData>
    <row r="2" customFormat="false" ht="20.25" hidden="false" customHeight="false" outlineLevel="0" collapsed="false">
      <c r="B2" s="1" t="s">
        <v>13</v>
      </c>
    </row>
    <row r="4" customFormat="false" ht="12.75" hidden="false" customHeight="false" outlineLevel="0" collapsed="false">
      <c r="B4" s="2" t="s">
        <v>1</v>
      </c>
      <c r="C4" s="2"/>
      <c r="D4" s="20" t="s">
        <v>14</v>
      </c>
      <c r="E4" s="20"/>
      <c r="F4" s="3" t="s">
        <v>4</v>
      </c>
      <c r="G4" s="3"/>
    </row>
    <row r="5" customFormat="false" ht="12.75" hidden="false" customHeight="false" outlineLevel="0" collapsed="false">
      <c r="B5" s="4" t="s">
        <v>5</v>
      </c>
      <c r="C5" s="4" t="s">
        <v>6</v>
      </c>
      <c r="D5" s="21" t="s">
        <v>5</v>
      </c>
      <c r="E5" s="21" t="s">
        <v>6</v>
      </c>
      <c r="F5" s="5" t="s">
        <v>5</v>
      </c>
      <c r="G5" s="5" t="s">
        <v>6</v>
      </c>
    </row>
    <row r="6" customFormat="false" ht="12.75" hidden="false" customHeight="false" outlineLevel="0" collapsed="false">
      <c r="B6" s="6" t="n">
        <v>0</v>
      </c>
      <c r="C6" s="6" t="n">
        <v>0</v>
      </c>
      <c r="D6" s="22" t="n">
        <v>0</v>
      </c>
      <c r="E6" s="22" t="n">
        <v>100</v>
      </c>
      <c r="F6" s="7" t="n">
        <v>100</v>
      </c>
      <c r="G6" s="7" t="n">
        <v>100</v>
      </c>
    </row>
    <row r="8" customFormat="false" ht="12.75" hidden="false" customHeight="false" outlineLevel="0" collapsed="false">
      <c r="B8" s="8" t="s">
        <v>7</v>
      </c>
      <c r="C8" s="8"/>
    </row>
    <row r="9" customFormat="false" ht="12.75" hidden="false" customHeight="false" outlineLevel="0" collapsed="false">
      <c r="B9" s="9" t="n">
        <v>0.75</v>
      </c>
      <c r="C9" s="9"/>
    </row>
    <row r="11" customFormat="false" ht="15" hidden="false" customHeight="false" outlineLevel="0" collapsed="false">
      <c r="B11" s="10" t="s">
        <v>8</v>
      </c>
    </row>
    <row r="13" customFormat="false" ht="12.75" hidden="false" customHeight="false" outlineLevel="0" collapsed="false">
      <c r="B13" s="11" t="s">
        <v>5</v>
      </c>
      <c r="C13" s="11" t="s">
        <v>6</v>
      </c>
      <c r="E13" s="12" t="s">
        <v>9</v>
      </c>
      <c r="F13" s="12"/>
    </row>
    <row r="14" customFormat="false" ht="12.75" hidden="false" customHeight="false" outlineLevel="0" collapsed="false">
      <c r="B14" s="9" t="n">
        <f aca="false">$E$14+($E$15-$E$14)*$B$9</f>
        <v>56.25</v>
      </c>
      <c r="C14" s="9" t="n">
        <f aca="false">$F$14+($F$15-$F$14)*$B$9</f>
        <v>93.75</v>
      </c>
      <c r="E14" s="13" t="n">
        <f aca="false">$B$6+($D$6-$B$6)*$B$9</f>
        <v>0</v>
      </c>
      <c r="F14" s="13" t="n">
        <f aca="false">$C$6+($E$6-$C$6)*$B$9</f>
        <v>75</v>
      </c>
    </row>
    <row r="15" customFormat="false" ht="12.75" hidden="false" customHeight="false" outlineLevel="0" collapsed="false">
      <c r="E15" s="13" t="n">
        <f aca="false">$D$6+($F$6-$D$6)*$B$9</f>
        <v>75</v>
      </c>
      <c r="F15" s="13" t="n">
        <f aca="false">$E$6+($G$6-$E$6)*$B$9</f>
        <v>100</v>
      </c>
    </row>
    <row r="19" customFormat="false" ht="12" hidden="false" customHeight="false" outlineLevel="0" collapsed="false">
      <c r="B19" s="0" t="s">
        <v>10</v>
      </c>
    </row>
    <row r="21" customFormat="false" ht="12" hidden="false" customHeight="false" outlineLevel="0" collapsed="false">
      <c r="B21" s="14" t="s">
        <v>11</v>
      </c>
      <c r="C21" s="14" t="n">
        <v>0</v>
      </c>
      <c r="D21" s="14" t="n">
        <v>0.1</v>
      </c>
      <c r="E21" s="14" t="n">
        <v>0.2</v>
      </c>
      <c r="F21" s="14" t="n">
        <v>0.3</v>
      </c>
      <c r="G21" s="14" t="n">
        <v>0.4</v>
      </c>
      <c r="H21" s="14" t="n">
        <v>0.5</v>
      </c>
      <c r="I21" s="14" t="n">
        <v>0.6</v>
      </c>
      <c r="J21" s="14" t="n">
        <v>0.7</v>
      </c>
      <c r="K21" s="14" t="n">
        <v>0.8</v>
      </c>
      <c r="L21" s="14" t="n">
        <v>0.9</v>
      </c>
      <c r="M21" s="14" t="n">
        <v>1</v>
      </c>
    </row>
    <row r="22" customFormat="false" ht="12.75" hidden="false" customHeight="false" outlineLevel="0" collapsed="false">
      <c r="B22" s="14" t="s">
        <v>5</v>
      </c>
      <c r="C22" s="15" t="n">
        <f aca="false">$B$26+($B$27-$B$26)*$C$21</f>
        <v>0</v>
      </c>
      <c r="D22" s="16" t="n">
        <f aca="false">$B$28+($B$29-$B$28)*$D$21</f>
        <v>1</v>
      </c>
      <c r="E22" s="17" t="n">
        <f aca="false">$B$30+($B$31-$B$30)*$E$21</f>
        <v>4</v>
      </c>
      <c r="F22" s="16" t="n">
        <f aca="false">$B$32+($B$33-$B$32)*$F$21</f>
        <v>9</v>
      </c>
      <c r="G22" s="17" t="n">
        <f aca="false">$B$34+($B$35-$B$34)*$G$21</f>
        <v>16</v>
      </c>
      <c r="H22" s="17" t="n">
        <f aca="false">$D$26+($D$27-$D$26)*$H$21</f>
        <v>25</v>
      </c>
      <c r="I22" s="17" t="n">
        <f aca="false">$D$28+($D$29-$D$28)*$I$21</f>
        <v>36</v>
      </c>
      <c r="J22" s="17" t="n">
        <f aca="false">$D$30+($D$31-$D$30)*$J$21</f>
        <v>49</v>
      </c>
      <c r="K22" s="17" t="n">
        <f aca="false">$D$32+($D$33-$D$32)*$K$21</f>
        <v>64</v>
      </c>
      <c r="L22" s="17" t="n">
        <f aca="false">$D$34+($D$35-$D$34)*$L$21</f>
        <v>81</v>
      </c>
      <c r="M22" s="16" t="n">
        <f aca="false">$D$36+($D$37-$D$36)*$M$21</f>
        <v>100</v>
      </c>
    </row>
    <row r="23" customFormat="false" ht="12.75" hidden="false" customHeight="false" outlineLevel="0" collapsed="false">
      <c r="B23" s="14" t="s">
        <v>6</v>
      </c>
      <c r="C23" s="15" t="n">
        <f aca="false">$C$26+($C$27-$C$26)*$C$21</f>
        <v>0</v>
      </c>
      <c r="D23" s="16" t="n">
        <f aca="false">$C$28+($C$29-$C$28)*$D$21</f>
        <v>19</v>
      </c>
      <c r="E23" s="16" t="n">
        <f aca="false">$C$30+($C$31-$C$30)*$E$21</f>
        <v>36</v>
      </c>
      <c r="F23" s="16" t="n">
        <f aca="false">$C$32+($C$33-$C$32)*$F$21</f>
        <v>51</v>
      </c>
      <c r="G23" s="17" t="n">
        <f aca="false">$C$34+($C$35-$C$34)*$G$21</f>
        <v>64</v>
      </c>
      <c r="H23" s="16" t="n">
        <f aca="false">$E$26+($E$27-$E$26)*$H$21</f>
        <v>75</v>
      </c>
      <c r="I23" s="16" t="n">
        <f aca="false">$E$28+($E$29-$E$28)*$I$21</f>
        <v>84</v>
      </c>
      <c r="J23" s="16" t="n">
        <f aca="false">$E$30+($E$31-$E$30)*$J$21</f>
        <v>91</v>
      </c>
      <c r="K23" s="16" t="n">
        <f aca="false">$E$32+($E$33-$E$32)*$K$21</f>
        <v>96</v>
      </c>
      <c r="L23" s="16" t="n">
        <f aca="false">$E$34+($E$35-$E$34)*$L$21</f>
        <v>99</v>
      </c>
      <c r="M23" s="16" t="n">
        <f aca="false">$E$36+($E$37-$E$36)*$M$21</f>
        <v>100</v>
      </c>
    </row>
    <row r="25" customFormat="false" ht="12" hidden="false" customHeight="false" outlineLevel="0" collapsed="false">
      <c r="B25" s="12" t="s">
        <v>12</v>
      </c>
      <c r="C25" s="12"/>
      <c r="D25" s="12"/>
      <c r="E25" s="12"/>
    </row>
    <row r="26" customFormat="false" ht="12" hidden="false" customHeight="false" outlineLevel="0" collapsed="false">
      <c r="B26" s="18" t="n">
        <f aca="false">$B$6+($D$6-$B$6)*$C$21</f>
        <v>0</v>
      </c>
      <c r="C26" s="19" t="n">
        <f aca="false">$C$6+($E$6-$C$6)*$C$21</f>
        <v>0</v>
      </c>
      <c r="D26" s="18" t="n">
        <f aca="false">$B$6+($D$6-$B$6)*$H$21</f>
        <v>0</v>
      </c>
      <c r="E26" s="19" t="n">
        <f aca="false">$C$6+($E$6-$C$6)*$H$21</f>
        <v>50</v>
      </c>
    </row>
    <row r="27" customFormat="false" ht="12.75" hidden="false" customHeight="false" outlineLevel="0" collapsed="false">
      <c r="B27" s="13" t="n">
        <f aca="false">$D$6+($F$6-$D$6)*$C$21</f>
        <v>0</v>
      </c>
      <c r="C27" s="18" t="n">
        <f aca="false">$E$6+($G$6-$E$6)*$C$21</f>
        <v>100</v>
      </c>
      <c r="D27" s="13" t="n">
        <f aca="false">$D$6+($F$6-$D$6)*$H$21</f>
        <v>50</v>
      </c>
      <c r="E27" s="18" t="n">
        <f aca="false">$E$6+($G$6-$E$6)*$H$21</f>
        <v>100</v>
      </c>
    </row>
    <row r="28" customFormat="false" ht="12" hidden="false" customHeight="false" outlineLevel="0" collapsed="false">
      <c r="B28" s="18" t="n">
        <f aca="false">$B$6+($D$6-$B$6)*$D$21</f>
        <v>0</v>
      </c>
      <c r="C28" s="19" t="n">
        <f aca="false">$C$6+($E$6-$C$6)*$D$21</f>
        <v>10</v>
      </c>
      <c r="D28" s="18" t="n">
        <f aca="false">$B$6+($D$6-$B$6)*$I$21</f>
        <v>0</v>
      </c>
      <c r="E28" s="19" t="n">
        <f aca="false">$C$6+($E$6-$C$6)*$I$21</f>
        <v>60</v>
      </c>
    </row>
    <row r="29" customFormat="false" ht="12.75" hidden="false" customHeight="false" outlineLevel="0" collapsed="false">
      <c r="B29" s="13" t="n">
        <f aca="false">$D$6+($F$6-$D$6)*$D$21</f>
        <v>10</v>
      </c>
      <c r="C29" s="18" t="n">
        <f aca="false">$E$6+($G$6-$E$6)*$D$21</f>
        <v>100</v>
      </c>
      <c r="D29" s="13" t="n">
        <f aca="false">$D$6+($F$6-$D$6)*$I$21</f>
        <v>60</v>
      </c>
      <c r="E29" s="18" t="n">
        <f aca="false">$E$6+($G$6-$E$6)*$I$21</f>
        <v>100</v>
      </c>
    </row>
    <row r="30" customFormat="false" ht="12" hidden="false" customHeight="false" outlineLevel="0" collapsed="false">
      <c r="B30" s="18" t="n">
        <f aca="false">$B$6+($D$6-$B$6)*$E$21</f>
        <v>0</v>
      </c>
      <c r="C30" s="19" t="n">
        <f aca="false">$C$6+($E$6-$C$6)*$E$21</f>
        <v>20</v>
      </c>
      <c r="D30" s="18" t="n">
        <f aca="false">$B$6+($D$6-$B$6)*$J$21</f>
        <v>0</v>
      </c>
      <c r="E30" s="19" t="n">
        <f aca="false">$C$6+($E$6-$C$6)*$J$21</f>
        <v>70</v>
      </c>
    </row>
    <row r="31" customFormat="false" ht="12.75" hidden="false" customHeight="false" outlineLevel="0" collapsed="false">
      <c r="B31" s="13" t="n">
        <f aca="false">$D$6+($F$6-$D$6)*$E$21</f>
        <v>20</v>
      </c>
      <c r="C31" s="18" t="n">
        <f aca="false">$E$6+($G$6-$E$6)*$E$21</f>
        <v>100</v>
      </c>
      <c r="D31" s="13" t="n">
        <f aca="false">$D$6+($F$6-$D$6)*$J$21</f>
        <v>70</v>
      </c>
      <c r="E31" s="18" t="n">
        <f aca="false">$E$6+($G$6-$E$6)*$J$21</f>
        <v>100</v>
      </c>
    </row>
    <row r="32" customFormat="false" ht="12" hidden="false" customHeight="false" outlineLevel="0" collapsed="false">
      <c r="B32" s="18" t="n">
        <f aca="false">$B$6+($D$6-$B$6)*$F$21</f>
        <v>0</v>
      </c>
      <c r="C32" s="19" t="n">
        <f aca="false">$C$6+($E$6-$C$6)*$F$21</f>
        <v>30</v>
      </c>
      <c r="D32" s="18" t="n">
        <f aca="false">$B$6+($D$6-$B$6)*$K$21</f>
        <v>0</v>
      </c>
      <c r="E32" s="19" t="n">
        <f aca="false">$C$6+($E$6-$C$6)*$K$21</f>
        <v>80</v>
      </c>
    </row>
    <row r="33" customFormat="false" ht="12.75" hidden="false" customHeight="false" outlineLevel="0" collapsed="false">
      <c r="B33" s="13" t="n">
        <f aca="false">$D$6+($F$6-$D$6)*$F$21</f>
        <v>30</v>
      </c>
      <c r="C33" s="18" t="n">
        <f aca="false">$E$6+($G$6-$E$6)*$F$21</f>
        <v>100</v>
      </c>
      <c r="D33" s="13" t="n">
        <f aca="false">$D$6+($F$6-$D$6)*$K$21</f>
        <v>80</v>
      </c>
      <c r="E33" s="18" t="n">
        <f aca="false">$E$6+($G$6-$E$6)*$K$21</f>
        <v>100</v>
      </c>
    </row>
    <row r="34" customFormat="false" ht="12" hidden="false" customHeight="false" outlineLevel="0" collapsed="false">
      <c r="B34" s="18" t="n">
        <f aca="false">$B$6+($D$6-$B$6)*$G$21</f>
        <v>0</v>
      </c>
      <c r="C34" s="19" t="n">
        <f aca="false">$C$6+($E$6-$C$6)*$G$21</f>
        <v>40</v>
      </c>
      <c r="D34" s="18" t="n">
        <f aca="false">$B$6+($D$6-$B$6)*$L$21</f>
        <v>0</v>
      </c>
      <c r="E34" s="19" t="n">
        <f aca="false">$C$6+($E$6-$C$6)*$L$21</f>
        <v>90</v>
      </c>
    </row>
    <row r="35" customFormat="false" ht="12.75" hidden="false" customHeight="false" outlineLevel="0" collapsed="false">
      <c r="B35" s="13" t="n">
        <f aca="false">$D$6+($F$6-$D$6)*$G$21</f>
        <v>40</v>
      </c>
      <c r="C35" s="18" t="n">
        <f aca="false">$E$6+($G$6-$E$6)*$G$21</f>
        <v>100</v>
      </c>
      <c r="D35" s="13" t="n">
        <f aca="false">$D$6+($F$6-$D$6)*$L$21</f>
        <v>90</v>
      </c>
      <c r="E35" s="18" t="n">
        <f aca="false">$E$6+($G$6-$E$6)*$L$21</f>
        <v>100</v>
      </c>
    </row>
    <row r="36" customFormat="false" ht="12" hidden="false" customHeight="false" outlineLevel="0" collapsed="false">
      <c r="B36" s="18"/>
      <c r="C36" s="18"/>
      <c r="D36" s="18" t="n">
        <f aca="false">$B$6+($D$6-$B$6)*$M$21</f>
        <v>0</v>
      </c>
      <c r="E36" s="19" t="n">
        <f aca="false">$C$6+($E$6-$C$6)*$M$21</f>
        <v>100</v>
      </c>
    </row>
    <row r="37" customFormat="false" ht="12.75" hidden="false" customHeight="false" outlineLevel="0" collapsed="false">
      <c r="B37" s="18"/>
      <c r="C37" s="18"/>
      <c r="D37" s="13" t="n">
        <f aca="false">$D$6+($F$6-$D$6)*$M$21</f>
        <v>100</v>
      </c>
      <c r="E37" s="18" t="n">
        <f aca="false">$E$6+($G$6-$E$6)*$M$21</f>
        <v>100</v>
      </c>
    </row>
  </sheetData>
  <mergeCells count="7">
    <mergeCell ref="B4:C4"/>
    <mergeCell ref="D4:E4"/>
    <mergeCell ref="F4:G4"/>
    <mergeCell ref="B8:C8"/>
    <mergeCell ref="B9:C9"/>
    <mergeCell ref="E13:F13"/>
    <mergeCell ref="B25:E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2:AA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0" width="10.1396396396396"/>
  </cols>
  <sheetData>
    <row r="2" customFormat="false" ht="20.25" hidden="false" customHeight="false" outlineLevel="0" collapsed="false">
      <c r="B2" s="1" t="s">
        <v>15</v>
      </c>
    </row>
    <row r="4" customFormat="false" ht="12.75" hidden="false" customHeight="false" outlineLevel="0" collapsed="false">
      <c r="B4" s="23" t="s">
        <v>1</v>
      </c>
      <c r="C4" s="23"/>
      <c r="D4" s="23" t="s">
        <v>2</v>
      </c>
      <c r="E4" s="23"/>
      <c r="F4" s="23" t="s">
        <v>3</v>
      </c>
      <c r="G4" s="23"/>
      <c r="H4" s="23" t="s">
        <v>4</v>
      </c>
      <c r="I4" s="23"/>
    </row>
    <row r="5" customFormat="false" ht="12.75" hidden="false" customHeight="false" outlineLevel="0" collapsed="false">
      <c r="B5" s="24" t="s">
        <v>5</v>
      </c>
      <c r="C5" s="24" t="s">
        <v>6</v>
      </c>
      <c r="D5" s="24" t="s">
        <v>5</v>
      </c>
      <c r="E5" s="24" t="s">
        <v>6</v>
      </c>
      <c r="F5" s="24" t="s">
        <v>5</v>
      </c>
      <c r="G5" s="24" t="s">
        <v>6</v>
      </c>
      <c r="H5" s="24" t="s">
        <v>5</v>
      </c>
      <c r="I5" s="24" t="s">
        <v>6</v>
      </c>
    </row>
    <row r="6" customFormat="false" ht="12.75" hidden="false" customHeight="false" outlineLevel="0" collapsed="false">
      <c r="B6" s="15" t="n">
        <v>0</v>
      </c>
      <c r="C6" s="15" t="n">
        <v>0</v>
      </c>
      <c r="D6" s="15" t="n">
        <v>0</v>
      </c>
      <c r="E6" s="15" t="n">
        <v>100</v>
      </c>
      <c r="F6" s="15" t="n">
        <v>100</v>
      </c>
      <c r="G6" s="15" t="n">
        <v>0</v>
      </c>
      <c r="H6" s="15" t="n">
        <v>100</v>
      </c>
      <c r="I6" s="15" t="n">
        <v>100</v>
      </c>
    </row>
    <row r="8" customFormat="false" ht="12.75" hidden="false" customHeight="false" outlineLevel="0" collapsed="false">
      <c r="B8" s="3" t="s">
        <v>1</v>
      </c>
      <c r="C8" s="3"/>
      <c r="D8" s="3" t="s">
        <v>2</v>
      </c>
      <c r="E8" s="3"/>
      <c r="F8" s="3" t="s">
        <v>3</v>
      </c>
      <c r="G8" s="3"/>
      <c r="H8" s="3" t="s">
        <v>4</v>
      </c>
      <c r="I8" s="3"/>
    </row>
    <row r="9" customFormat="false" ht="12.75" hidden="false" customHeight="false" outlineLevel="0" collapsed="false">
      <c r="B9" s="5" t="s">
        <v>5</v>
      </c>
      <c r="C9" s="5" t="s">
        <v>6</v>
      </c>
      <c r="D9" s="5" t="s">
        <v>5</v>
      </c>
      <c r="E9" s="5" t="s">
        <v>6</v>
      </c>
      <c r="F9" s="5" t="s">
        <v>5</v>
      </c>
      <c r="G9" s="5" t="s">
        <v>6</v>
      </c>
      <c r="H9" s="5" t="s">
        <v>5</v>
      </c>
      <c r="I9" s="5" t="s">
        <v>6</v>
      </c>
    </row>
    <row r="10" customFormat="false" ht="12.75" hidden="false" customHeight="false" outlineLevel="0" collapsed="false">
      <c r="B10" s="7" t="n">
        <v>50</v>
      </c>
      <c r="C10" s="7" t="n">
        <v>0</v>
      </c>
      <c r="D10" s="7" t="n">
        <v>50</v>
      </c>
      <c r="E10" s="7" t="n">
        <v>100</v>
      </c>
      <c r="F10" s="7" t="n">
        <v>150</v>
      </c>
      <c r="G10" s="7" t="n">
        <v>0</v>
      </c>
      <c r="H10" s="7" t="n">
        <v>150</v>
      </c>
      <c r="I10" s="7" t="n">
        <v>100</v>
      </c>
    </row>
    <row r="12" customFormat="false" ht="15" hidden="false" customHeight="false" outlineLevel="0" collapsed="false">
      <c r="B12" s="10" t="s">
        <v>8</v>
      </c>
    </row>
    <row r="14" customFormat="false" ht="12.75" hidden="false" customHeight="false" outlineLevel="0" collapsed="false">
      <c r="B14" s="8" t="s">
        <v>1</v>
      </c>
      <c r="C14" s="8"/>
      <c r="D14" s="8" t="s">
        <v>2</v>
      </c>
      <c r="E14" s="8"/>
      <c r="F14" s="8" t="s">
        <v>3</v>
      </c>
      <c r="G14" s="8"/>
      <c r="H14" s="8" t="s">
        <v>4</v>
      </c>
      <c r="I14" s="8"/>
    </row>
    <row r="15" customFormat="false" ht="12.75" hidden="false" customHeight="false" outlineLevel="0" collapsed="false">
      <c r="B15" s="11" t="s">
        <v>5</v>
      </c>
      <c r="C15" s="11" t="s">
        <v>6</v>
      </c>
      <c r="D15" s="11" t="s">
        <v>5</v>
      </c>
      <c r="E15" s="11" t="s">
        <v>6</v>
      </c>
      <c r="F15" s="11" t="s">
        <v>5</v>
      </c>
      <c r="G15" s="11" t="s">
        <v>6</v>
      </c>
      <c r="H15" s="11" t="s">
        <v>5</v>
      </c>
      <c r="I15" s="11" t="s">
        <v>6</v>
      </c>
    </row>
    <row r="16" customFormat="false" ht="12.75" hidden="false" customHeight="false" outlineLevel="0" collapsed="false">
      <c r="B16" s="9" t="n">
        <f aca="false">($B$6+$B$10)/2</f>
        <v>25</v>
      </c>
      <c r="C16" s="9" t="n">
        <f aca="false">($C$6+$C$10)/2</f>
        <v>0</v>
      </c>
      <c r="D16" s="9" t="n">
        <f aca="false">($D$6+$D$10)/2</f>
        <v>25</v>
      </c>
      <c r="E16" s="9" t="n">
        <f aca="false">($E$6+$E$10)/2</f>
        <v>100</v>
      </c>
      <c r="F16" s="9" t="n">
        <f aca="false">($F$6+$F$10)/2</f>
        <v>125</v>
      </c>
      <c r="G16" s="9" t="n">
        <f aca="false">($G$6+$G$10)/2</f>
        <v>0</v>
      </c>
      <c r="H16" s="9" t="n">
        <f aca="false">($H$6+$H$10)/2</f>
        <v>125</v>
      </c>
      <c r="I16" s="9" t="n">
        <f aca="false">($I$6+$I$10)/2</f>
        <v>100</v>
      </c>
    </row>
    <row r="20" customFormat="false" ht="12" hidden="false" customHeight="false" outlineLevel="0" collapsed="false">
      <c r="B20" s="0" t="s">
        <v>10</v>
      </c>
    </row>
    <row r="22" customFormat="false" ht="12" hidden="false" customHeight="false" outlineLevel="0" collapsed="false">
      <c r="B22" s="14" t="s">
        <v>11</v>
      </c>
      <c r="C22" s="14" t="n">
        <v>0</v>
      </c>
      <c r="D22" s="14" t="n">
        <v>0.1</v>
      </c>
      <c r="E22" s="14" t="n">
        <v>0.2</v>
      </c>
      <c r="F22" s="14" t="n">
        <v>0.3</v>
      </c>
      <c r="G22" s="14" t="n">
        <v>0.4</v>
      </c>
      <c r="H22" s="14" t="n">
        <v>0.5</v>
      </c>
      <c r="I22" s="14" t="n">
        <v>0.6</v>
      </c>
      <c r="J22" s="14" t="n">
        <v>0.7</v>
      </c>
      <c r="K22" s="14" t="n">
        <v>0.8</v>
      </c>
      <c r="L22" s="14" t="n">
        <v>0.9</v>
      </c>
      <c r="M22" s="14" t="n">
        <v>1</v>
      </c>
    </row>
    <row r="23" customFormat="false" ht="12.75" hidden="false" customHeight="false" outlineLevel="0" collapsed="false">
      <c r="B23" s="14" t="s">
        <v>5</v>
      </c>
      <c r="C23" s="15" t="n">
        <f aca="false">$D$35+($D$36-$D$35)*$C$22</f>
        <v>0</v>
      </c>
      <c r="D23" s="16" t="n">
        <f aca="false">$D$38+($D$39-$D$38)*$D$22</f>
        <v>2.8</v>
      </c>
      <c r="E23" s="17" t="n">
        <f aca="false">$D$41+($D$42-$D$41)*$E$22</f>
        <v>10.4</v>
      </c>
      <c r="F23" s="16" t="n">
        <f aca="false">$D$44+($D$45-$D$44)*$F$22</f>
        <v>21.6</v>
      </c>
      <c r="G23" s="17" t="n">
        <f aca="false">$D$47+($D$48-$D$47)*$G$22</f>
        <v>35.2</v>
      </c>
      <c r="H23" s="17" t="n">
        <f aca="false">$H$35+($H$36-$H$35)*$H$22</f>
        <v>50</v>
      </c>
      <c r="I23" s="17" t="n">
        <f aca="false">$H$38+($H$39-$H$38)*$I$22</f>
        <v>64.8</v>
      </c>
      <c r="J23" s="17" t="n">
        <f aca="false">$H$41+($H$42-$H$41)*$J$22</f>
        <v>78.4</v>
      </c>
      <c r="K23" s="17" t="n">
        <f aca="false">$H$44+($H$45-$H$44)*$K$22</f>
        <v>89.6</v>
      </c>
      <c r="L23" s="17" t="n">
        <f aca="false">$H$47+($H$48-$H$47)*$L$22</f>
        <v>97.2</v>
      </c>
      <c r="M23" s="16" t="n">
        <f aca="false">$H$50+($H$51-$H$50)*$M$22</f>
        <v>100</v>
      </c>
    </row>
    <row r="24" customFormat="false" ht="12.75" hidden="false" customHeight="false" outlineLevel="0" collapsed="false">
      <c r="B24" s="14" t="s">
        <v>6</v>
      </c>
      <c r="C24" s="15" t="n">
        <f aca="false">$E$35+($E$36-$E$35)*$C$22</f>
        <v>0</v>
      </c>
      <c r="D24" s="16" t="n">
        <f aca="false">$E$38+($E$39-$E$38)*$D$22</f>
        <v>24.4</v>
      </c>
      <c r="E24" s="16" t="n">
        <f aca="false">$E$41+($E$42-$E$41)*$E$22</f>
        <v>39.2</v>
      </c>
      <c r="F24" s="16" t="n">
        <f aca="false">$E$44+($E$45-$E$44)*$F$22</f>
        <v>46.8</v>
      </c>
      <c r="G24" s="17" t="n">
        <f aca="false">$E$47+($E$48-$E$47)*$G$22</f>
        <v>49.6</v>
      </c>
      <c r="H24" s="16" t="n">
        <f aca="false">$I$35+($I$36-$I$35)*$H$22</f>
        <v>50</v>
      </c>
      <c r="I24" s="16" t="n">
        <f aca="false">$I$38+($I$39-$I$38)*$I$22</f>
        <v>50.4</v>
      </c>
      <c r="J24" s="16" t="n">
        <f aca="false">$I$41+($I$42-$I$41)*$J$22</f>
        <v>53.2</v>
      </c>
      <c r="K24" s="16" t="n">
        <f aca="false">$I$44+($I$45-$I$44)*$K$22</f>
        <v>60.8</v>
      </c>
      <c r="L24" s="16" t="n">
        <f aca="false">$I$47+($I$48-$I$47)*$L$22</f>
        <v>75.6</v>
      </c>
      <c r="M24" s="16" t="n">
        <f aca="false">$I$50+($I$51-$I$50)*$M$22</f>
        <v>100</v>
      </c>
    </row>
    <row r="26" customFormat="false" ht="12" hidden="false" customHeight="false" outlineLevel="0" collapsed="false">
      <c r="B26" s="25" t="s">
        <v>11</v>
      </c>
      <c r="C26" s="25" t="n">
        <v>0</v>
      </c>
      <c r="D26" s="25" t="n">
        <v>0.1</v>
      </c>
      <c r="E26" s="25" t="n">
        <v>0.2</v>
      </c>
      <c r="F26" s="25" t="n">
        <v>0.3</v>
      </c>
      <c r="G26" s="25" t="n">
        <v>0.4</v>
      </c>
      <c r="H26" s="25" t="n">
        <v>0.5</v>
      </c>
      <c r="I26" s="25" t="n">
        <v>0.6</v>
      </c>
      <c r="J26" s="25" t="n">
        <v>0.7</v>
      </c>
      <c r="K26" s="25" t="n">
        <v>0.8</v>
      </c>
      <c r="L26" s="25" t="n">
        <v>0.9</v>
      </c>
      <c r="M26" s="25" t="n">
        <v>1</v>
      </c>
    </row>
    <row r="27" customFormat="false" ht="12.75" hidden="false" customHeight="false" outlineLevel="0" collapsed="false">
      <c r="B27" s="25" t="s">
        <v>5</v>
      </c>
      <c r="C27" s="7" t="n">
        <f aca="false">$M$35+($M$36-$M$35)*$C$26</f>
        <v>50</v>
      </c>
      <c r="D27" s="26" t="n">
        <f aca="false">$M$38+($M$39-$M$38)*$D$26</f>
        <v>52.8</v>
      </c>
      <c r="E27" s="27" t="n">
        <f aca="false">$M$41+($M$42-$M$41)*$E$26</f>
        <v>60.4</v>
      </c>
      <c r="F27" s="26" t="n">
        <f aca="false">$M$44+($M$45-$M$44)*$F$26</f>
        <v>71.6</v>
      </c>
      <c r="G27" s="27" t="n">
        <f aca="false">$M$47+($M$48-$M$47)*$G$26</f>
        <v>85.2</v>
      </c>
      <c r="H27" s="27" t="n">
        <f aca="false">$Q$35+($Q$36-$Q$35)*$H$26</f>
        <v>100</v>
      </c>
      <c r="I27" s="27" t="n">
        <f aca="false">$Q$38+($Q$39-$Q$38)*$I$26</f>
        <v>114.8</v>
      </c>
      <c r="J27" s="27" t="n">
        <f aca="false">$Q$41+($Q$42-$Q$41)*$J$26</f>
        <v>128.4</v>
      </c>
      <c r="K27" s="27" t="n">
        <f aca="false">$Q$44+($Q$45-$Q$44)*$K$26</f>
        <v>139.6</v>
      </c>
      <c r="L27" s="27" t="n">
        <f aca="false">$Q$47+($Q$48-$Q$47)*$L$26</f>
        <v>147.2</v>
      </c>
      <c r="M27" s="26" t="n">
        <f aca="false">$Q$50+($Q$51-$Q$50)*$M$26</f>
        <v>150</v>
      </c>
    </row>
    <row r="28" customFormat="false" ht="12.75" hidden="false" customHeight="false" outlineLevel="0" collapsed="false">
      <c r="B28" s="25" t="s">
        <v>6</v>
      </c>
      <c r="C28" s="7" t="n">
        <f aca="false">$N$35+($N$36-$N$35)*$C$26</f>
        <v>0</v>
      </c>
      <c r="D28" s="26" t="n">
        <f aca="false">$N$38+($N$39-$N$38)*$D$26</f>
        <v>24.4</v>
      </c>
      <c r="E28" s="26" t="n">
        <f aca="false">$N$41+($N$42-$N$41)*$E$26</f>
        <v>39.2</v>
      </c>
      <c r="F28" s="26" t="n">
        <f aca="false">$N$44+($N$45-$N$44)*$F$26</f>
        <v>46.8</v>
      </c>
      <c r="G28" s="27" t="n">
        <f aca="false">$N$47+($N$48-$N$47)*$G$26</f>
        <v>49.6</v>
      </c>
      <c r="H28" s="26" t="n">
        <f aca="false">$R$35+($R$36-$R$35)*$H$26</f>
        <v>50</v>
      </c>
      <c r="I28" s="26" t="n">
        <f aca="false">$R$38+($R$39-$R$38)*$I$26</f>
        <v>50.4</v>
      </c>
      <c r="J28" s="26" t="n">
        <f aca="false">$R$41+($R$42-$R$41)*$J$26</f>
        <v>53.2</v>
      </c>
      <c r="K28" s="26" t="n">
        <f aca="false">$R$44+($R$45-$R$44)*$K$26</f>
        <v>60.8</v>
      </c>
      <c r="L28" s="26" t="n">
        <f aca="false">$R$47+($R$48-$R$47)*$L$26</f>
        <v>75.6</v>
      </c>
      <c r="M28" s="26" t="n">
        <f aca="false">$R$50+($R$51-$R$50)*$M$26</f>
        <v>100</v>
      </c>
    </row>
    <row r="30" customFormat="false" ht="12" hidden="false" customHeight="false" outlineLevel="0" collapsed="false">
      <c r="B30" s="28" t="s">
        <v>11</v>
      </c>
      <c r="C30" s="28" t="n">
        <v>0</v>
      </c>
      <c r="D30" s="28" t="n">
        <v>0.1</v>
      </c>
      <c r="E30" s="28" t="n">
        <v>0.2</v>
      </c>
      <c r="F30" s="28" t="n">
        <v>0.3</v>
      </c>
      <c r="G30" s="28" t="n">
        <v>0.4</v>
      </c>
      <c r="H30" s="28" t="n">
        <v>0.5</v>
      </c>
      <c r="I30" s="28" t="n">
        <v>0.6</v>
      </c>
      <c r="J30" s="28" t="n">
        <v>0.7</v>
      </c>
      <c r="K30" s="28" t="n">
        <v>0.8</v>
      </c>
      <c r="L30" s="28" t="n">
        <v>0.9</v>
      </c>
      <c r="M30" s="28" t="n">
        <v>1</v>
      </c>
    </row>
    <row r="31" customFormat="false" ht="12.75" hidden="false" customHeight="false" outlineLevel="0" collapsed="false">
      <c r="B31" s="28" t="s">
        <v>5</v>
      </c>
      <c r="C31" s="9" t="n">
        <f aca="false">$V$35+($V$36-$V$35)*$C$30</f>
        <v>25</v>
      </c>
      <c r="D31" s="29" t="n">
        <f aca="false">$V$38+($V$39-$V$38)*$D$30</f>
        <v>27.8</v>
      </c>
      <c r="E31" s="30" t="n">
        <f aca="false">$V$41+($V$42-$V$41)*$E$30</f>
        <v>35.4</v>
      </c>
      <c r="F31" s="29" t="n">
        <f aca="false">$V$44+($V$45-$V$44)*$F$30</f>
        <v>46.6</v>
      </c>
      <c r="G31" s="30" t="n">
        <f aca="false">$V$47+($V$48-$V$47)*$G$30</f>
        <v>60.2</v>
      </c>
      <c r="H31" s="30" t="n">
        <f aca="false">$Z$35+($Z$36-$Z$35)*$H$30</f>
        <v>75</v>
      </c>
      <c r="I31" s="30" t="n">
        <f aca="false">$Z$38+($Z$39-$Z$38)*$I$30</f>
        <v>89.8</v>
      </c>
      <c r="J31" s="30" t="n">
        <f aca="false">$Z$41+($Z$42-$Z$41)*$J$30</f>
        <v>103.4</v>
      </c>
      <c r="K31" s="30" t="n">
        <f aca="false">$Z$44+($Z$45-$Z$44)*$K$30</f>
        <v>114.6</v>
      </c>
      <c r="L31" s="30" t="n">
        <f aca="false">$Z$47+($Z$48-$Z$47)*$L$30</f>
        <v>122.2</v>
      </c>
      <c r="M31" s="29" t="n">
        <f aca="false">$Z$50+($Z$51-$Z$50)*$M$30</f>
        <v>125</v>
      </c>
    </row>
    <row r="32" customFormat="false" ht="12.75" hidden="false" customHeight="false" outlineLevel="0" collapsed="false">
      <c r="B32" s="28" t="s">
        <v>6</v>
      </c>
      <c r="C32" s="9" t="n">
        <f aca="false">$W$35+($W$36-$W$35)*$C$30</f>
        <v>0</v>
      </c>
      <c r="D32" s="29" t="n">
        <f aca="false">$W$38+($W$39-$W$38)*$D$30</f>
        <v>24.4</v>
      </c>
      <c r="E32" s="29" t="n">
        <f aca="false">$W$41+($W$42-$W$41)*$E$30</f>
        <v>39.2</v>
      </c>
      <c r="F32" s="29" t="n">
        <f aca="false">$W$44+($W$45-$W$44)*$F$30</f>
        <v>46.8</v>
      </c>
      <c r="G32" s="30" t="n">
        <f aca="false">$W$47+($W$48-$W$47)*$G$30</f>
        <v>49.6</v>
      </c>
      <c r="H32" s="29" t="n">
        <f aca="false">$AA$35+($AA$36-$AA$35)*$H$30</f>
        <v>50</v>
      </c>
      <c r="I32" s="29" t="n">
        <f aca="false">$AA$38+($AA$39-$AA$38)*$I$30</f>
        <v>50.4</v>
      </c>
      <c r="J32" s="29" t="n">
        <f aca="false">$AA$41+($AA$42-$AA$41)*$J$30</f>
        <v>53.2</v>
      </c>
      <c r="K32" s="29" t="n">
        <f aca="false">$AA$44+($AA$45-$AA$44)*$K$30</f>
        <v>60.8</v>
      </c>
      <c r="L32" s="29" t="n">
        <f aca="false">$AA$47+($AA$48-$AA$47)*$L$30</f>
        <v>75.6</v>
      </c>
      <c r="M32" s="29" t="n">
        <f aca="false">$AA$50+($AA$51-$AA$50)*$M$30</f>
        <v>100</v>
      </c>
    </row>
    <row r="34" customFormat="false" ht="12" hidden="false" customHeight="false" outlineLevel="0" collapsed="false">
      <c r="B34" s="12" t="s">
        <v>12</v>
      </c>
      <c r="C34" s="12"/>
      <c r="D34" s="12"/>
      <c r="E34" s="12"/>
      <c r="F34" s="12"/>
      <c r="G34" s="12"/>
      <c r="H34" s="12"/>
      <c r="I34" s="12"/>
      <c r="K34" s="12" t="s">
        <v>12</v>
      </c>
      <c r="L34" s="12"/>
      <c r="M34" s="12"/>
      <c r="N34" s="12"/>
      <c r="O34" s="12"/>
      <c r="P34" s="12"/>
      <c r="Q34" s="12"/>
      <c r="R34" s="12"/>
      <c r="T34" s="12" t="s">
        <v>12</v>
      </c>
      <c r="U34" s="12"/>
      <c r="V34" s="12"/>
      <c r="W34" s="12"/>
      <c r="X34" s="12"/>
      <c r="Y34" s="12"/>
      <c r="Z34" s="12"/>
      <c r="AA34" s="12"/>
    </row>
    <row r="35" customFormat="false" ht="12.75" hidden="false" customHeight="false" outlineLevel="0" collapsed="false">
      <c r="B35" s="13" t="n">
        <f aca="false">$B$6+($D$6-$B$6)*$C$22</f>
        <v>0</v>
      </c>
      <c r="C35" s="13" t="n">
        <f aca="false">$C$6+($E$6-$C$6)*$C$22</f>
        <v>0</v>
      </c>
      <c r="D35" s="18" t="n">
        <f aca="false">B35+(B36-B35)*$C$22</f>
        <v>0</v>
      </c>
      <c r="E35" s="18" t="n">
        <f aca="false">C35+(C36-C35)*$C$22</f>
        <v>0</v>
      </c>
      <c r="F35" s="13" t="n">
        <f aca="false">$B$6+($D$6-$B$6)*$H$22</f>
        <v>0</v>
      </c>
      <c r="G35" s="13" t="n">
        <f aca="false">$C$6+($E$6-$C$6)*$H$22</f>
        <v>50</v>
      </c>
      <c r="H35" s="18" t="n">
        <f aca="false">F35+(F36-F35)*$H$22</f>
        <v>25</v>
      </c>
      <c r="I35" s="18" t="n">
        <f aca="false">G35+(G36-G35)*$H$22</f>
        <v>50</v>
      </c>
      <c r="K35" s="13" t="n">
        <f aca="false">$B$10+($D$10-$B$10)*$C$26</f>
        <v>50</v>
      </c>
      <c r="L35" s="13" t="n">
        <f aca="false">$C$10+($E$10-$C$10)*$C$26</f>
        <v>0</v>
      </c>
      <c r="M35" s="18" t="n">
        <f aca="false">K35+(K36-K35)*$C$26</f>
        <v>50</v>
      </c>
      <c r="N35" s="18" t="n">
        <f aca="false">L35+(L36-L35)*$C$26</f>
        <v>0</v>
      </c>
      <c r="O35" s="13" t="n">
        <f aca="false">$B$10+($D$10-$B$10)*$H$26</f>
        <v>50</v>
      </c>
      <c r="P35" s="13" t="n">
        <f aca="false">$C$10+($E$10-$C$10)*$H$26</f>
        <v>50</v>
      </c>
      <c r="Q35" s="18" t="n">
        <f aca="false">O35+(O36-O35)*$H$26</f>
        <v>75</v>
      </c>
      <c r="R35" s="18" t="n">
        <f aca="false">P35+(P36-P35)*$H$26</f>
        <v>50</v>
      </c>
      <c r="T35" s="13" t="n">
        <f aca="false">($B$6+$B$10)/2+(($D$6+$D$10)/2-($B$6+$B$10)/2)*$C$30</f>
        <v>25</v>
      </c>
      <c r="U35" s="13" t="n">
        <f aca="false">($C$6+$C$10)/2+(($E$6+$E$10)/2-($C$6+$C$10)/2)*$C$30</f>
        <v>0</v>
      </c>
      <c r="V35" s="18" t="n">
        <f aca="false">T35+(T36-T35)*$C$30</f>
        <v>25</v>
      </c>
      <c r="W35" s="18" t="n">
        <f aca="false">U35+(U36-U35)*$C$30</f>
        <v>0</v>
      </c>
      <c r="X35" s="13" t="n">
        <f aca="false">($B$6+$B$10)/2+(($D$6+$D$10)/2-($B$6+$B$10)/2)*$H$30</f>
        <v>25</v>
      </c>
      <c r="Y35" s="13" t="n">
        <f aca="false">($C$6+$C$10)/2+(($E$6+$E$10)/2-($C$6+$C$10)/2)*$H$30</f>
        <v>50</v>
      </c>
      <c r="Z35" s="18" t="n">
        <f aca="false">X35+(X36-X35)*$H$30</f>
        <v>50</v>
      </c>
      <c r="AA35" s="18" t="n">
        <f aca="false">Y35+(Y36-Y35)*$H$30</f>
        <v>50</v>
      </c>
    </row>
    <row r="36" customFormat="false" ht="12.75" hidden="false" customHeight="false" outlineLevel="0" collapsed="false">
      <c r="B36" s="18" t="n">
        <f aca="false">$D$6+($F$6-$D$6)*$C$22</f>
        <v>0</v>
      </c>
      <c r="C36" s="18" t="n">
        <f aca="false">$E$6+($G$6-$E$6)*$C$22</f>
        <v>100</v>
      </c>
      <c r="D36" s="13" t="n">
        <f aca="false">B36+(B37-B36)*$C$22</f>
        <v>0</v>
      </c>
      <c r="E36" s="18" t="n">
        <f aca="false">C36+(C37-C36)*$C$22</f>
        <v>100</v>
      </c>
      <c r="F36" s="18" t="n">
        <f aca="false">$D$6+($F$6-$D$6)*$H$22</f>
        <v>50</v>
      </c>
      <c r="G36" s="18" t="n">
        <f aca="false">$E$6+($G$6-$E$6)*$H$22</f>
        <v>50</v>
      </c>
      <c r="H36" s="13" t="n">
        <f aca="false">F36+(F37-F36)*$H$22</f>
        <v>75</v>
      </c>
      <c r="I36" s="18" t="n">
        <f aca="false">G36+(G37-G36)*$H$22</f>
        <v>50</v>
      </c>
      <c r="K36" s="18" t="n">
        <f aca="false">$D$10+($F$10-$D$10)*$C$26</f>
        <v>50</v>
      </c>
      <c r="L36" s="18" t="n">
        <f aca="false">$E$10+($G$10-$E$10)*$C$26</f>
        <v>100</v>
      </c>
      <c r="M36" s="13" t="n">
        <f aca="false">K36+(K37-K36)*$C$26</f>
        <v>50</v>
      </c>
      <c r="N36" s="18" t="n">
        <f aca="false">L36+(L37-L36)*$C$26</f>
        <v>100</v>
      </c>
      <c r="O36" s="18" t="n">
        <f aca="false">$D$10+($F$10-$D$10)*$H$26</f>
        <v>100</v>
      </c>
      <c r="P36" s="18" t="n">
        <f aca="false">$E$10+($G$10-$E$10)*$H$26</f>
        <v>50</v>
      </c>
      <c r="Q36" s="13" t="n">
        <f aca="false">O36+(O37-O36)*$H$26</f>
        <v>125</v>
      </c>
      <c r="R36" s="18" t="n">
        <f aca="false">P36+(P37-P36)*$H$26</f>
        <v>50</v>
      </c>
      <c r="T36" s="18" t="n">
        <f aca="false">($D$6+$D$10)/2+(($F$6+$F$10)/2-($D$6+$D$10)/2)*$C$30</f>
        <v>25</v>
      </c>
      <c r="U36" s="18" t="n">
        <f aca="false">($E$6+$E$10)/2+(($G$6+$G$10)/2-($E$6+$E$10)/2)*$C$30</f>
        <v>100</v>
      </c>
      <c r="V36" s="13" t="n">
        <f aca="false">T36+(T37-T36)*$C$30</f>
        <v>25</v>
      </c>
      <c r="W36" s="18" t="n">
        <f aca="false">U36+(U37-U36)*$C$30</f>
        <v>100</v>
      </c>
      <c r="X36" s="18" t="n">
        <f aca="false">($D$6+$D$10)/2+(($F$6+$F$10)/2-($D$6+$D$10)/2)*$H$30</f>
        <v>75</v>
      </c>
      <c r="Y36" s="18" t="n">
        <f aca="false">($E$6+$E$10)/2+(($G$6+$G$10)/2-($E$6+$E$10)/2)*$H$30</f>
        <v>50</v>
      </c>
      <c r="Z36" s="13" t="n">
        <f aca="false">X36+(X37-X36)*$H$30</f>
        <v>100</v>
      </c>
      <c r="AA36" s="18" t="n">
        <f aca="false">Y36+(Y37-Y36)*$H$30</f>
        <v>50</v>
      </c>
    </row>
    <row r="37" customFormat="false" ht="12" hidden="false" customHeight="false" outlineLevel="0" collapsed="false">
      <c r="B37" s="18" t="n">
        <f aca="false">$F$6+($H$6-$F$6)*$C$22</f>
        <v>100</v>
      </c>
      <c r="C37" s="18" t="n">
        <f aca="false">$G$6+($I$6-$G$6)*$C$22</f>
        <v>0</v>
      </c>
      <c r="D37" s="18"/>
      <c r="E37" s="18"/>
      <c r="F37" s="18" t="n">
        <f aca="false">$F$6+($H$6-$F$6)*$H$22</f>
        <v>100</v>
      </c>
      <c r="G37" s="18" t="n">
        <f aca="false">$G$6+($I$6-$G$6)*$H$22</f>
        <v>50</v>
      </c>
      <c r="H37" s="18"/>
      <c r="I37" s="18"/>
      <c r="K37" s="18" t="n">
        <f aca="false">$F$10+($H$10-$F$10)*$C$26</f>
        <v>150</v>
      </c>
      <c r="L37" s="18" t="n">
        <f aca="false">$G$10+($I$10-$G$10)*$C$26</f>
        <v>0</v>
      </c>
      <c r="M37" s="18"/>
      <c r="N37" s="18"/>
      <c r="O37" s="18" t="n">
        <f aca="false">$F$10+($H$10-$F$10)*$H$26</f>
        <v>150</v>
      </c>
      <c r="P37" s="18" t="n">
        <f aca="false">$G$10+($I$10-$G$10)*$H$26</f>
        <v>50</v>
      </c>
      <c r="Q37" s="18"/>
      <c r="R37" s="18"/>
      <c r="T37" s="18" t="n">
        <f aca="false">($F$6+$F$10)/2+(($H$6+$H$10)/2-($F$6+$F$10)/2)*$C$30</f>
        <v>125</v>
      </c>
      <c r="U37" s="18" t="n">
        <f aca="false">($G$6+$G$10)/2+(($I$6+$I$10)/2-($G$6+$G$10)/2)*$C$30</f>
        <v>0</v>
      </c>
      <c r="V37" s="18"/>
      <c r="W37" s="18"/>
      <c r="X37" s="18" t="n">
        <f aca="false">($F$6+$F$10)/2+(($H$6+$H$10)/2-($F$6+$F$10)/2)*$H$30</f>
        <v>125</v>
      </c>
      <c r="Y37" s="18" t="n">
        <f aca="false">($G$6+$G$10)/2+(($I$6+$I$10)/2-($G$6+$G$10)/2)*$H$30</f>
        <v>50</v>
      </c>
      <c r="Z37" s="18"/>
      <c r="AA37" s="18"/>
    </row>
    <row r="38" customFormat="false" ht="12.75" hidden="false" customHeight="false" outlineLevel="0" collapsed="false">
      <c r="B38" s="13" t="n">
        <f aca="false">$B$6+($D$6-$B$6)*$D$22</f>
        <v>0</v>
      </c>
      <c r="C38" s="13" t="n">
        <f aca="false">$C$6+($E$6-$C$6)*$D$22</f>
        <v>10</v>
      </c>
      <c r="D38" s="18" t="n">
        <f aca="false">B38+(B39-B38)*$D$22</f>
        <v>1</v>
      </c>
      <c r="E38" s="18" t="n">
        <f aca="false">C38+(C39-C38)*$D$22</f>
        <v>18</v>
      </c>
      <c r="F38" s="13" t="n">
        <f aca="false">$B$6+($D$6-$B$6)*$I$22</f>
        <v>0</v>
      </c>
      <c r="G38" s="13" t="n">
        <f aca="false">$C$6+($E$6-$C$6)*$I$22</f>
        <v>60</v>
      </c>
      <c r="H38" s="18" t="n">
        <f aca="false">F38+(F39-F38)*$I$22</f>
        <v>36</v>
      </c>
      <c r="I38" s="18" t="n">
        <f aca="false">G38+(G39-G38)*$I$22</f>
        <v>48</v>
      </c>
      <c r="K38" s="13" t="n">
        <f aca="false">$B$10+($D$10-$B$10)*$D$26</f>
        <v>50</v>
      </c>
      <c r="L38" s="13" t="n">
        <f aca="false">$C$10+($E$10-$C$10)*$D$26</f>
        <v>10</v>
      </c>
      <c r="M38" s="18" t="n">
        <f aca="false">K38+(K39-K38)*$D$26</f>
        <v>51</v>
      </c>
      <c r="N38" s="18" t="n">
        <f aca="false">L38+(L39-L38)*$D$26</f>
        <v>18</v>
      </c>
      <c r="O38" s="13" t="n">
        <f aca="false">$B$10+($D$10-$B$10)*$I$26</f>
        <v>50</v>
      </c>
      <c r="P38" s="13" t="n">
        <f aca="false">$C$10+($E$10-$C$10)*$I$26</f>
        <v>60</v>
      </c>
      <c r="Q38" s="18" t="n">
        <f aca="false">O38+(O39-O38)*$I$26</f>
        <v>86</v>
      </c>
      <c r="R38" s="18" t="n">
        <f aca="false">P38+(P39-P38)*$I$26</f>
        <v>48</v>
      </c>
      <c r="T38" s="13" t="n">
        <f aca="false">($B$6+$B$10)/2+(($D$6+$D$10)/2-($B$6+$B$10)/2)*$D$30</f>
        <v>25</v>
      </c>
      <c r="U38" s="13" t="n">
        <f aca="false">($C$6+$C$10)/2+(($E$6+$E$10)/2-($C$6+$C$10)/2)*$D$30</f>
        <v>10</v>
      </c>
      <c r="V38" s="18" t="n">
        <f aca="false">T38+(T39-T38)*$D$30</f>
        <v>26</v>
      </c>
      <c r="W38" s="18" t="n">
        <f aca="false">U38+(U39-U38)*$D$30</f>
        <v>18</v>
      </c>
      <c r="X38" s="13" t="n">
        <f aca="false">($B$6+$B$10)/2+(($D$6+$D$10)/2-($B$6+$B$10)/2)*$I$30</f>
        <v>25</v>
      </c>
      <c r="Y38" s="13" t="n">
        <f aca="false">($C$6+$C$10)/2+(($E$6+$E$10)/2-($C$6+$C$10)/2)*$I$30</f>
        <v>60</v>
      </c>
      <c r="Z38" s="18" t="n">
        <f aca="false">X38+(X39-X38)*$I$30</f>
        <v>61</v>
      </c>
      <c r="AA38" s="18" t="n">
        <f aca="false">Y38+(Y39-Y38)*$I$30</f>
        <v>48</v>
      </c>
    </row>
    <row r="39" customFormat="false" ht="12.75" hidden="false" customHeight="false" outlineLevel="0" collapsed="false">
      <c r="B39" s="18" t="n">
        <f aca="false">$D$6+($F$6-$D$6)*$D$22</f>
        <v>10</v>
      </c>
      <c r="C39" s="13" t="n">
        <f aca="false">$E$6+($G$6-$E$6)*$D$22</f>
        <v>90</v>
      </c>
      <c r="D39" s="18" t="n">
        <f aca="false">B39+(B40-B39)*$D$22</f>
        <v>19</v>
      </c>
      <c r="E39" s="18" t="n">
        <f aca="false">C39+(C40-C39)*$D$22</f>
        <v>82</v>
      </c>
      <c r="F39" s="18" t="n">
        <f aca="false">$D$6+($F$6-$D$6)*$I$22</f>
        <v>60</v>
      </c>
      <c r="G39" s="18" t="n">
        <f aca="false">$E$6+($G$6-$E$6)*$I$22</f>
        <v>40</v>
      </c>
      <c r="H39" s="13" t="n">
        <f aca="false">F39+(F40-F39)*$I$22</f>
        <v>84</v>
      </c>
      <c r="I39" s="18" t="n">
        <f aca="false">G39+(G40-G39)*$I$22</f>
        <v>52</v>
      </c>
      <c r="K39" s="18" t="n">
        <f aca="false">$D$10+($F$10-$D$10)*$D$26</f>
        <v>60</v>
      </c>
      <c r="L39" s="18" t="n">
        <f aca="false">$E$10+($G$10-$E$10)*$D$26</f>
        <v>90</v>
      </c>
      <c r="M39" s="18" t="n">
        <f aca="false">K39+(K40-K39)*$D$26</f>
        <v>69</v>
      </c>
      <c r="N39" s="18" t="n">
        <f aca="false">L39+(L40-L39)*$D$26</f>
        <v>82</v>
      </c>
      <c r="O39" s="18" t="n">
        <f aca="false">$D$10+($F$10-$D$10)*$I$26</f>
        <v>110</v>
      </c>
      <c r="P39" s="18" t="n">
        <f aca="false">$E$10+($G$10-$E$10)*$I$26</f>
        <v>40</v>
      </c>
      <c r="Q39" s="13" t="n">
        <f aca="false">O39+(O40-O39)*$I$26</f>
        <v>134</v>
      </c>
      <c r="R39" s="18" t="n">
        <f aca="false">P39+(P40-P39)*$I$26</f>
        <v>52</v>
      </c>
      <c r="T39" s="18" t="n">
        <f aca="false">($D$6+$D$10)/2+(($F$6+$F$10)/2-($D$6+$D$10)/2)*$D$30</f>
        <v>35</v>
      </c>
      <c r="U39" s="18" t="n">
        <f aca="false">($E$6+$E$10)/2+(($G$6+$G$10)/2-($E$6+$E$10)/2)*$D$30</f>
        <v>90</v>
      </c>
      <c r="V39" s="18" t="n">
        <f aca="false">T39+(T40-T39)*$D$30</f>
        <v>44</v>
      </c>
      <c r="W39" s="18" t="n">
        <f aca="false">U39+(U40-U39)*$D$30</f>
        <v>82</v>
      </c>
      <c r="X39" s="18" t="n">
        <f aca="false">($D$6+$D$10)/2+(($F$6+$F$10)/2-($D$6+$D$10)/2)*$I$30</f>
        <v>85</v>
      </c>
      <c r="Y39" s="18" t="n">
        <f aca="false">($E$6+$E$10)/2+(($G$6+$G$10)/2-($E$6+$E$10)/2)*$I$30</f>
        <v>40</v>
      </c>
      <c r="Z39" s="13" t="n">
        <f aca="false">X39+(X40-X39)*$I$30</f>
        <v>109</v>
      </c>
      <c r="AA39" s="18" t="n">
        <f aca="false">Y39+(Y40-Y39)*$I$30</f>
        <v>52</v>
      </c>
    </row>
    <row r="40" customFormat="false" ht="12.75" hidden="false" customHeight="false" outlineLevel="0" collapsed="false">
      <c r="B40" s="13" t="n">
        <f aca="false">$F$6+($H$6-$F$6)*$D$22</f>
        <v>100</v>
      </c>
      <c r="C40" s="19" t="n">
        <f aca="false">$G$6+($I$6-$G$6)*$D$22</f>
        <v>10</v>
      </c>
      <c r="D40" s="18"/>
      <c r="E40" s="18"/>
      <c r="F40" s="18" t="n">
        <f aca="false">$F$6+($H$6-$F$6)*$I$22</f>
        <v>100</v>
      </c>
      <c r="G40" s="18" t="n">
        <f aca="false">$G$6+($I$6-$G$6)*$I$22</f>
        <v>60</v>
      </c>
      <c r="H40" s="18"/>
      <c r="I40" s="18"/>
      <c r="K40" s="18" t="n">
        <f aca="false">$F$10+($H$10-$F$10)*$D$26</f>
        <v>150</v>
      </c>
      <c r="L40" s="18" t="n">
        <f aca="false">$G$10+($I$10-$G$10)*$D$26</f>
        <v>10</v>
      </c>
      <c r="M40" s="18"/>
      <c r="N40" s="18"/>
      <c r="O40" s="18" t="n">
        <f aca="false">$F$10+($H$10-$F$10)*$I$26</f>
        <v>150</v>
      </c>
      <c r="P40" s="18" t="n">
        <f aca="false">$G$10+($I$10-$G$10)*$I$26</f>
        <v>60</v>
      </c>
      <c r="Q40" s="18"/>
      <c r="R40" s="18"/>
      <c r="T40" s="18" t="n">
        <f aca="false">($F$6+$F$10)/2+(($H$6+$H$10)/2-($F$6+$F$10)/2)*$D$30</f>
        <v>125</v>
      </c>
      <c r="U40" s="18" t="n">
        <f aca="false">($G$6+$G$10)/2+(($I$6+$I$10)/2-($G$6+$G$10)/2)*$D$30</f>
        <v>10</v>
      </c>
      <c r="V40" s="18"/>
      <c r="W40" s="18"/>
      <c r="X40" s="18" t="n">
        <f aca="false">($F$6+$F$10)/2+(($H$6+$H$10)/2-($F$6+$F$10)/2)*$I$30</f>
        <v>125</v>
      </c>
      <c r="Y40" s="18" t="n">
        <f aca="false">($G$6+$G$10)/2+(($I$6+$I$10)/2-($G$6+$G$10)/2)*$I$30</f>
        <v>60</v>
      </c>
      <c r="Z40" s="18"/>
      <c r="AA40" s="18"/>
    </row>
    <row r="41" customFormat="false" ht="12.75" hidden="false" customHeight="false" outlineLevel="0" collapsed="false">
      <c r="B41" s="13" t="n">
        <f aca="false">$B$6+($D$6-$B$6)*$E$22</f>
        <v>0</v>
      </c>
      <c r="C41" s="13" t="n">
        <f aca="false">$C$6+($E$6-$C$6)*$E$22</f>
        <v>20</v>
      </c>
      <c r="D41" s="18" t="n">
        <f aca="false">B41+(B42-B41)*$E$22</f>
        <v>4</v>
      </c>
      <c r="E41" s="18" t="n">
        <f aca="false">C41+(C42-C41)*$E$22</f>
        <v>32</v>
      </c>
      <c r="F41" s="13" t="n">
        <f aca="false">$B$6+($D$6-$B$6)*$J$22</f>
        <v>0</v>
      </c>
      <c r="G41" s="13" t="n">
        <f aca="false">$C$6+($E$6-$C$6)*$J$22</f>
        <v>70</v>
      </c>
      <c r="H41" s="18" t="n">
        <f aca="false">F41+(F42-F41)*$J$22</f>
        <v>49</v>
      </c>
      <c r="I41" s="18" t="n">
        <f aca="false">G41+(G42-G41)*$J$22</f>
        <v>42</v>
      </c>
      <c r="K41" s="13" t="n">
        <f aca="false">$B$10+($D$10-$B$10)*$E$26</f>
        <v>50</v>
      </c>
      <c r="L41" s="13" t="n">
        <f aca="false">$C$10+($E$10-$C$10)*$E$26</f>
        <v>20</v>
      </c>
      <c r="M41" s="18" t="n">
        <f aca="false">K41+(K42-K41)*$E$26</f>
        <v>54</v>
      </c>
      <c r="N41" s="18" t="n">
        <f aca="false">L41+(L42-L41)*$E$26</f>
        <v>32</v>
      </c>
      <c r="O41" s="13" t="n">
        <f aca="false">$B$10+($D$10-$B$10)*$J$26</f>
        <v>50</v>
      </c>
      <c r="P41" s="13" t="n">
        <f aca="false">$C$10+($E$10-$C$10)*$J$26</f>
        <v>70</v>
      </c>
      <c r="Q41" s="18" t="n">
        <f aca="false">O41+(O42-O41)*$J$26</f>
        <v>99</v>
      </c>
      <c r="R41" s="18" t="n">
        <f aca="false">P41+(P42-P41)*$J$26</f>
        <v>42</v>
      </c>
      <c r="T41" s="13" t="n">
        <f aca="false">($B$6+$B$10)/2+(($D$6+$D$10)/2-($B$6+$B$10)/2)*$E$30</f>
        <v>25</v>
      </c>
      <c r="U41" s="13" t="n">
        <f aca="false">($C$6+$C$10)/2+(($E$6+$E$10)/2-($C$6+$C$10)/2)*$E$30</f>
        <v>20</v>
      </c>
      <c r="V41" s="18" t="n">
        <f aca="false">T41+(T42-T41)*$E$30</f>
        <v>29</v>
      </c>
      <c r="W41" s="18" t="n">
        <f aca="false">U41+(U42-U41)*$E$30</f>
        <v>32</v>
      </c>
      <c r="X41" s="13" t="n">
        <f aca="false">($B$6+$B$10)/2+(($D$6+$D$10)/2-($B$6+$B$10)/2)*$J$30</f>
        <v>25</v>
      </c>
      <c r="Y41" s="13" t="n">
        <f aca="false">($C$6+$C$10)/2+(($E$6+$E$10)/2-($C$6+$C$10)/2)*$J$30</f>
        <v>70</v>
      </c>
      <c r="Z41" s="18" t="n">
        <f aca="false">X41+(X42-X41)*$J$30</f>
        <v>74</v>
      </c>
      <c r="AA41" s="18" t="n">
        <f aca="false">Y41+(Y42-Y41)*$J$30</f>
        <v>42</v>
      </c>
    </row>
    <row r="42" customFormat="false" ht="12.75" hidden="false" customHeight="false" outlineLevel="0" collapsed="false">
      <c r="B42" s="18" t="n">
        <f aca="false">$D$6+($F$6-$D$6)*$E$22</f>
        <v>20</v>
      </c>
      <c r="C42" s="13" t="n">
        <f aca="false">$E$6+($G$6-$E$6)*$E$22</f>
        <v>80</v>
      </c>
      <c r="D42" s="18" t="n">
        <f aca="false">B42+(B43-B42)*$E$22</f>
        <v>36</v>
      </c>
      <c r="E42" s="18" t="n">
        <f aca="false">C42+(C43-C42)*$E$22</f>
        <v>68</v>
      </c>
      <c r="F42" s="18" t="n">
        <f aca="false">$D$6+($F$6-$D$6)*$J$22</f>
        <v>70</v>
      </c>
      <c r="G42" s="18" t="n">
        <f aca="false">$E$6+($G$6-$E$6)*$J$22</f>
        <v>30</v>
      </c>
      <c r="H42" s="13" t="n">
        <f aca="false">F42+(F43-F42)*$J$22</f>
        <v>91</v>
      </c>
      <c r="I42" s="18" t="n">
        <f aca="false">G42+(G43-G42)*$J$22</f>
        <v>58</v>
      </c>
      <c r="K42" s="18" t="n">
        <f aca="false">$D$10+($F$10-$D$10)*$E$26</f>
        <v>70</v>
      </c>
      <c r="L42" s="18" t="n">
        <f aca="false">$E$10+($G$10-$E$10)*$E$26</f>
        <v>80</v>
      </c>
      <c r="M42" s="18" t="n">
        <f aca="false">K42+(K43-K42)*$E$26</f>
        <v>86</v>
      </c>
      <c r="N42" s="18" t="n">
        <f aca="false">L42+(L43-L42)*$E$26</f>
        <v>68</v>
      </c>
      <c r="O42" s="18" t="n">
        <f aca="false">$D$10+($F$10-$D$10)*$J$26</f>
        <v>120</v>
      </c>
      <c r="P42" s="18" t="n">
        <f aca="false">$E$10+($G$10-$E$10)*$J$26</f>
        <v>30</v>
      </c>
      <c r="Q42" s="13" t="n">
        <f aca="false">O42+(O43-O42)*$J$26</f>
        <v>141</v>
      </c>
      <c r="R42" s="18" t="n">
        <f aca="false">P42+(P43-P42)*$J$26</f>
        <v>58</v>
      </c>
      <c r="T42" s="18" t="n">
        <f aca="false">($D$6+$D$10)/2+(($F$6+$F$10)/2-($D$6+$D$10)/2)*$E$30</f>
        <v>45</v>
      </c>
      <c r="U42" s="18" t="n">
        <f aca="false">($E$6+$E$10)/2+(($G$6+$G$10)/2-($E$6+$E$10)/2)*$E$30</f>
        <v>80</v>
      </c>
      <c r="V42" s="18" t="n">
        <f aca="false">T42+(T43-T42)*$E$30</f>
        <v>61</v>
      </c>
      <c r="W42" s="18" t="n">
        <f aca="false">U42+(U43-U42)*$E$30</f>
        <v>68</v>
      </c>
      <c r="X42" s="18" t="n">
        <f aca="false">($D$6+$D$10)/2+(($F$6+$F$10)/2-($D$6+$D$10)/2)*$J$30</f>
        <v>95</v>
      </c>
      <c r="Y42" s="18" t="n">
        <f aca="false">($E$6+$E$10)/2+(($G$6+$G$10)/2-($E$6+$E$10)/2)*$J$30</f>
        <v>30</v>
      </c>
      <c r="Z42" s="13" t="n">
        <f aca="false">X42+(X43-X42)*$J$30</f>
        <v>116</v>
      </c>
      <c r="AA42" s="18" t="n">
        <f aca="false">Y42+(Y43-Y42)*$J$30</f>
        <v>58</v>
      </c>
    </row>
    <row r="43" customFormat="false" ht="12.75" hidden="false" customHeight="false" outlineLevel="0" collapsed="false">
      <c r="B43" s="13" t="n">
        <f aca="false">$F$6+($H$6-$F$6)*$E$22</f>
        <v>100</v>
      </c>
      <c r="C43" s="19" t="n">
        <f aca="false">$G$6+($I$6-$G$6)*$E$22</f>
        <v>20</v>
      </c>
      <c r="D43" s="18"/>
      <c r="E43" s="18"/>
      <c r="F43" s="18" t="n">
        <f aca="false">$F$6+($H$6-$F$6)*$J$22</f>
        <v>100</v>
      </c>
      <c r="G43" s="18" t="n">
        <f aca="false">$G$6+($I$6-$G$6)*$J$22</f>
        <v>70</v>
      </c>
      <c r="H43" s="18"/>
      <c r="I43" s="18"/>
      <c r="K43" s="18" t="n">
        <f aca="false">$F$10+($H$10-$F$10)*$E$26</f>
        <v>150</v>
      </c>
      <c r="L43" s="18" t="n">
        <f aca="false">$G$10+($I$10-$G$10)*$E$26</f>
        <v>20</v>
      </c>
      <c r="M43" s="18"/>
      <c r="N43" s="18"/>
      <c r="O43" s="18" t="n">
        <f aca="false">$F$10+($H$10-$F$10)*$J$26</f>
        <v>150</v>
      </c>
      <c r="P43" s="18" t="n">
        <f aca="false">$G$10+($I$10-$G$10)*$J$26</f>
        <v>70</v>
      </c>
      <c r="Q43" s="18"/>
      <c r="R43" s="18"/>
      <c r="T43" s="18" t="n">
        <f aca="false">($F$6+$F$10)/2+(($H$6+$H$10)/2-($F$6+$F$10)/2)*$E$30</f>
        <v>125</v>
      </c>
      <c r="U43" s="18" t="n">
        <f aca="false">($G$6+$G$10)/2+(($I$6+$I$10)/2-($G$6+$G$10)/2)*$E$30</f>
        <v>20</v>
      </c>
      <c r="V43" s="18"/>
      <c r="W43" s="18"/>
      <c r="X43" s="18" t="n">
        <f aca="false">($F$6+$F$10)/2+(($H$6+$H$10)/2-($F$6+$F$10)/2)*$J$30</f>
        <v>125</v>
      </c>
      <c r="Y43" s="18" t="n">
        <f aca="false">($G$6+$G$10)/2+(($I$6+$I$10)/2-($G$6+$G$10)/2)*$J$30</f>
        <v>70</v>
      </c>
      <c r="Z43" s="18"/>
      <c r="AA43" s="18"/>
    </row>
    <row r="44" customFormat="false" ht="12.75" hidden="false" customHeight="false" outlineLevel="0" collapsed="false">
      <c r="B44" s="13" t="n">
        <f aca="false">$B$6+($D$6-$B$6)*$F$22</f>
        <v>0</v>
      </c>
      <c r="C44" s="13" t="n">
        <f aca="false">$C$6+($E$6-$C$6)*$F$22</f>
        <v>30</v>
      </c>
      <c r="D44" s="18" t="n">
        <f aca="false">B44+(B45-B44)*$F$22</f>
        <v>9</v>
      </c>
      <c r="E44" s="18" t="n">
        <f aca="false">C44+(C45-C44)*$F$22</f>
        <v>42</v>
      </c>
      <c r="F44" s="13" t="n">
        <f aca="false">$B$6+($D$6-$B$6)*$K$22</f>
        <v>0</v>
      </c>
      <c r="G44" s="13" t="n">
        <f aca="false">$C$6+($E$6-$C$6)*$K$22</f>
        <v>80</v>
      </c>
      <c r="H44" s="18" t="n">
        <f aca="false">F44+(F45-F44)*$K$22</f>
        <v>64</v>
      </c>
      <c r="I44" s="18" t="n">
        <f aca="false">G44+(G45-G44)*$K$22</f>
        <v>32</v>
      </c>
      <c r="K44" s="13" t="n">
        <f aca="false">$B$10+($D$10-$B$10)*$F$26</f>
        <v>50</v>
      </c>
      <c r="L44" s="13" t="n">
        <f aca="false">$C$10+($E$10-$C$10)*$F$26</f>
        <v>30</v>
      </c>
      <c r="M44" s="18" t="n">
        <f aca="false">K44+(K45-K44)*$F$26</f>
        <v>59</v>
      </c>
      <c r="N44" s="18" t="n">
        <f aca="false">L44+(L45-L44)*$F$26</f>
        <v>42</v>
      </c>
      <c r="O44" s="13" t="n">
        <f aca="false">$B$10+($D$10-$B$10)*$K$26</f>
        <v>50</v>
      </c>
      <c r="P44" s="13" t="n">
        <f aca="false">$C$10+($E$10-$C$10)*$K$26</f>
        <v>80</v>
      </c>
      <c r="Q44" s="18" t="n">
        <f aca="false">O44+(O45-O44)*$K$26</f>
        <v>114</v>
      </c>
      <c r="R44" s="18" t="n">
        <f aca="false">P44+(P45-P44)*$K$26</f>
        <v>32</v>
      </c>
      <c r="T44" s="13" t="n">
        <f aca="false">($B$6+$B$10)/2+(($D$6+$D$10)/2-($B$6+$B$10)/2)*$F$30</f>
        <v>25</v>
      </c>
      <c r="U44" s="13" t="n">
        <f aca="false">($C$6+$C$10)/2+(($E$6+$E$10)/2-($C$6+$C$10)/2)*$F$30</f>
        <v>30</v>
      </c>
      <c r="V44" s="18" t="n">
        <f aca="false">T44+(T45-T44)*$F$30</f>
        <v>34</v>
      </c>
      <c r="W44" s="18" t="n">
        <f aca="false">U44+(U45-U44)*$F$30</f>
        <v>42</v>
      </c>
      <c r="X44" s="13" t="n">
        <f aca="false">($B$6+$B$10)/2+(($D$6+$D$10)/2-($B$6+$B$10)/2)*$K$30</f>
        <v>25</v>
      </c>
      <c r="Y44" s="13" t="n">
        <f aca="false">($C$6+$C$10)/2+(($E$6+$E$10)/2-($C$6+$C$10)/2)*$K$30</f>
        <v>80</v>
      </c>
      <c r="Z44" s="18" t="n">
        <f aca="false">X44+(X45-X44)*$K$30</f>
        <v>89</v>
      </c>
      <c r="AA44" s="18" t="n">
        <f aca="false">Y44+(Y45-Y44)*$K$30</f>
        <v>32</v>
      </c>
    </row>
    <row r="45" customFormat="false" ht="12.75" hidden="false" customHeight="false" outlineLevel="0" collapsed="false">
      <c r="B45" s="18" t="n">
        <f aca="false">$D$6+($F$6-$D$6)*$F$22</f>
        <v>30</v>
      </c>
      <c r="C45" s="13" t="n">
        <f aca="false">$E$6+($G$6-$E$6)*$F$22</f>
        <v>70</v>
      </c>
      <c r="D45" s="18" t="n">
        <f aca="false">B45+(B46-B45)*$F$22</f>
        <v>51</v>
      </c>
      <c r="E45" s="18" t="n">
        <f aca="false">C45+(C46-C45)*$F$22</f>
        <v>58</v>
      </c>
      <c r="F45" s="18" t="n">
        <f aca="false">$D$6+($F$6-$D$6)*$K$22</f>
        <v>80</v>
      </c>
      <c r="G45" s="18" t="n">
        <f aca="false">$E$6+($G$6-$E$6)*$K$22</f>
        <v>20</v>
      </c>
      <c r="H45" s="13" t="n">
        <f aca="false">F45+(F46-F45)*$K$22</f>
        <v>96</v>
      </c>
      <c r="I45" s="18" t="n">
        <f aca="false">G45+(G46-G45)*$K$22</f>
        <v>68</v>
      </c>
      <c r="K45" s="18" t="n">
        <f aca="false">$D$10+($F$10-$D$10)*$F$26</f>
        <v>80</v>
      </c>
      <c r="L45" s="18" t="n">
        <f aca="false">$E$10+($G$10-$E$10)*$F$26</f>
        <v>70</v>
      </c>
      <c r="M45" s="18" t="n">
        <f aca="false">K45+(K46-K45)*$F$26</f>
        <v>101</v>
      </c>
      <c r="N45" s="18" t="n">
        <f aca="false">L45+(L46-L45)*$F$26</f>
        <v>58</v>
      </c>
      <c r="O45" s="18" t="n">
        <f aca="false">$D$10+($F$10-$D$10)*$K$26</f>
        <v>130</v>
      </c>
      <c r="P45" s="18" t="n">
        <f aca="false">$E$10+($G$10-$E$10)*$K$26</f>
        <v>20</v>
      </c>
      <c r="Q45" s="13" t="n">
        <f aca="false">O45+(O46-O45)*$K$26</f>
        <v>146</v>
      </c>
      <c r="R45" s="18" t="n">
        <f aca="false">P45+(P46-P45)*$K$26</f>
        <v>68</v>
      </c>
      <c r="T45" s="18" t="n">
        <f aca="false">($D$6+$D$10)/2+(($F$6+$F$10)/2-($D$6+$D$10)/2)*$F$30</f>
        <v>55</v>
      </c>
      <c r="U45" s="18" t="n">
        <f aca="false">($E$6+$E$10)/2+(($G$6+$G$10)/2-($E$6+$E$10)/2)*$F$30</f>
        <v>70</v>
      </c>
      <c r="V45" s="18" t="n">
        <f aca="false">T45+(T46-T45)*$F$30</f>
        <v>76</v>
      </c>
      <c r="W45" s="18" t="n">
        <f aca="false">U45+(U46-U45)*$F$30</f>
        <v>58</v>
      </c>
      <c r="X45" s="18" t="n">
        <f aca="false">($D$6+$D$10)/2+(($F$6+$F$10)/2-($D$6+$D$10)/2)*$K$30</f>
        <v>105</v>
      </c>
      <c r="Y45" s="18" t="n">
        <f aca="false">($E$6+$E$10)/2+(($G$6+$G$10)/2-($E$6+$E$10)/2)*$K$30</f>
        <v>20</v>
      </c>
      <c r="Z45" s="13" t="n">
        <f aca="false">X45+(X46-X45)*$K$30</f>
        <v>121</v>
      </c>
      <c r="AA45" s="18" t="n">
        <f aca="false">Y45+(Y46-Y45)*$K$30</f>
        <v>68</v>
      </c>
    </row>
    <row r="46" customFormat="false" ht="12.75" hidden="false" customHeight="false" outlineLevel="0" collapsed="false">
      <c r="B46" s="13" t="n">
        <f aca="false">$F$6+($H$6-$F$6)*$F$22</f>
        <v>100</v>
      </c>
      <c r="C46" s="19" t="n">
        <f aca="false">$G$6+($I$6-$G$6)*$F$22</f>
        <v>30</v>
      </c>
      <c r="D46" s="18"/>
      <c r="E46" s="18"/>
      <c r="F46" s="18" t="n">
        <f aca="false">$F$6+($H$6-$F$6)*$K$22</f>
        <v>100</v>
      </c>
      <c r="G46" s="18" t="n">
        <f aca="false">$G$6+($I$6-$G$6)*$K$22</f>
        <v>80</v>
      </c>
      <c r="H46" s="18"/>
      <c r="I46" s="18"/>
      <c r="K46" s="18" t="n">
        <f aca="false">$F$10+($H$10-$F$10)*$F$26</f>
        <v>150</v>
      </c>
      <c r="L46" s="18" t="n">
        <f aca="false">$G$10+($I$10-$G$10)*$F$26</f>
        <v>30</v>
      </c>
      <c r="M46" s="18"/>
      <c r="N46" s="18"/>
      <c r="O46" s="18" t="n">
        <f aca="false">$F$10+($H$10-$F$10)*$K$26</f>
        <v>150</v>
      </c>
      <c r="P46" s="18" t="n">
        <f aca="false">$G$10+($I$10-$G$10)*$K$26</f>
        <v>80</v>
      </c>
      <c r="Q46" s="18"/>
      <c r="R46" s="18"/>
      <c r="T46" s="18" t="n">
        <f aca="false">($F$6+$F$10)/2+(($H$6+$H$10)/2-($F$6+$F$10)/2)*$F$30</f>
        <v>125</v>
      </c>
      <c r="U46" s="18" t="n">
        <f aca="false">($G$6+$G$10)/2+(($I$6+$I$10)/2-($G$6+$G$10)/2)*$F$30</f>
        <v>30</v>
      </c>
      <c r="V46" s="18"/>
      <c r="W46" s="18"/>
      <c r="X46" s="18" t="n">
        <f aca="false">($F$6+$F$10)/2+(($H$6+$H$10)/2-($F$6+$F$10)/2)*$K$30</f>
        <v>125</v>
      </c>
      <c r="Y46" s="18" t="n">
        <f aca="false">($G$6+$G$10)/2+(($I$6+$I$10)/2-($G$6+$G$10)/2)*$K$30</f>
        <v>80</v>
      </c>
      <c r="Z46" s="18"/>
      <c r="AA46" s="18"/>
    </row>
    <row r="47" customFormat="false" ht="12.75" hidden="false" customHeight="false" outlineLevel="0" collapsed="false">
      <c r="B47" s="13" t="n">
        <f aca="false">$B$6+($D$6-$B$6)*$G$22</f>
        <v>0</v>
      </c>
      <c r="C47" s="13" t="n">
        <f aca="false">$C$6+($E$6-$C$6)*$G$22</f>
        <v>40</v>
      </c>
      <c r="D47" s="18" t="n">
        <f aca="false">B47+(B48-B47)*$G$22</f>
        <v>16</v>
      </c>
      <c r="E47" s="18" t="n">
        <f aca="false">C47+(C48-C47)*$G$22</f>
        <v>48</v>
      </c>
      <c r="F47" s="13" t="n">
        <f aca="false">$B$6+($D$6-$B$6)*$L$22</f>
        <v>0</v>
      </c>
      <c r="G47" s="13" t="n">
        <f aca="false">$C$6+($E$6-$C$6)*$L$22</f>
        <v>90</v>
      </c>
      <c r="H47" s="18" t="n">
        <f aca="false">F47+(F48-F47)*$L$22</f>
        <v>81</v>
      </c>
      <c r="I47" s="18" t="n">
        <f aca="false">G47+(G48-G47)*$L$22</f>
        <v>18</v>
      </c>
      <c r="K47" s="13" t="n">
        <f aca="false">$B$10+($D$10-$B$10)*$G$26</f>
        <v>50</v>
      </c>
      <c r="L47" s="13" t="n">
        <f aca="false">$C$10+($E$10-$C$10)*$G$26</f>
        <v>40</v>
      </c>
      <c r="M47" s="18" t="n">
        <f aca="false">K47+(K48-K47)*$G$26</f>
        <v>66</v>
      </c>
      <c r="N47" s="18" t="n">
        <f aca="false">L47+(L48-L47)*$G$26</f>
        <v>48</v>
      </c>
      <c r="O47" s="13" t="n">
        <f aca="false">$B$10+($D$10-$B$10)*$L$26</f>
        <v>50</v>
      </c>
      <c r="P47" s="13" t="n">
        <f aca="false">$C$10+($E$10-$C$10)*$L$26</f>
        <v>90</v>
      </c>
      <c r="Q47" s="18" t="n">
        <f aca="false">O47+(O48-O47)*$L$26</f>
        <v>131</v>
      </c>
      <c r="R47" s="18" t="n">
        <f aca="false">P47+(P48-P47)*$L$26</f>
        <v>18</v>
      </c>
      <c r="T47" s="13" t="n">
        <f aca="false">($B$6+$B$10)/2+(($D$6+$D$10)/2-($B$6+$B$10)/2)*$G$30</f>
        <v>25</v>
      </c>
      <c r="U47" s="13" t="n">
        <f aca="false">($C$6+$C$10)/2+(($E$6+$E$10)/2-($C$6+$C$10)/2)*$G$30</f>
        <v>40</v>
      </c>
      <c r="V47" s="18" t="n">
        <f aca="false">T47+(T48-T47)*$G$30</f>
        <v>41</v>
      </c>
      <c r="W47" s="18" t="n">
        <f aca="false">U47+(U48-U47)*$G$30</f>
        <v>48</v>
      </c>
      <c r="X47" s="13" t="n">
        <f aca="false">($B$6+$B$10)/2+(($D$6+$D$10)/2-($B$6+$B$10)/2)*$L$30</f>
        <v>25</v>
      </c>
      <c r="Y47" s="13" t="n">
        <f aca="false">($C$6+$C$10)/2+(($E$6+$E$10)/2-($C$6+$C$10)/2)*$L$30</f>
        <v>90</v>
      </c>
      <c r="Z47" s="18" t="n">
        <f aca="false">X47+(X48-X47)*$L$30</f>
        <v>106</v>
      </c>
      <c r="AA47" s="18" t="n">
        <f aca="false">Y47+(Y48-Y47)*$L$30</f>
        <v>18</v>
      </c>
    </row>
    <row r="48" customFormat="false" ht="12.75" hidden="false" customHeight="false" outlineLevel="0" collapsed="false">
      <c r="B48" s="18" t="n">
        <f aca="false">$D$6+($F$6-$D$6)*$G$22</f>
        <v>40</v>
      </c>
      <c r="C48" s="13" t="n">
        <f aca="false">$E$6+($G$6-$E$6)*$G$22</f>
        <v>60</v>
      </c>
      <c r="D48" s="18" t="n">
        <f aca="false">B48+(B49-B48)*$G$22</f>
        <v>64</v>
      </c>
      <c r="E48" s="18" t="n">
        <f aca="false">C48+(C49-C48)*$G$22</f>
        <v>52</v>
      </c>
      <c r="F48" s="18" t="n">
        <f aca="false">$D$6+($F$6-$D$6)*$L$22</f>
        <v>90</v>
      </c>
      <c r="G48" s="18" t="n">
        <f aca="false">$E$6+($G$6-$E$6)*$L$22</f>
        <v>10</v>
      </c>
      <c r="H48" s="13" t="n">
        <f aca="false">F48+(F49-F48)*$L$22</f>
        <v>99</v>
      </c>
      <c r="I48" s="18" t="n">
        <f aca="false">G48+(G49-G48)*$L$22</f>
        <v>82</v>
      </c>
      <c r="K48" s="18" t="n">
        <f aca="false">$D$10+($F$10-$D$10)*$G$26</f>
        <v>90</v>
      </c>
      <c r="L48" s="18" t="n">
        <f aca="false">$E$10+($G$10-$E$10)*$G$26</f>
        <v>60</v>
      </c>
      <c r="M48" s="18" t="n">
        <f aca="false">K48+(K49-K48)*$G$26</f>
        <v>114</v>
      </c>
      <c r="N48" s="18" t="n">
        <f aca="false">L48+(L49-L48)*$G$26</f>
        <v>52</v>
      </c>
      <c r="O48" s="18" t="n">
        <f aca="false">$D$10+($F$10-$D$10)*$L$26</f>
        <v>140</v>
      </c>
      <c r="P48" s="18" t="n">
        <f aca="false">$E$10+($G$10-$E$10)*$L$26</f>
        <v>10</v>
      </c>
      <c r="Q48" s="13" t="n">
        <f aca="false">O48+(O49-O48)*$L$26</f>
        <v>149</v>
      </c>
      <c r="R48" s="18" t="n">
        <f aca="false">P48+(P49-P48)*$L$26</f>
        <v>82</v>
      </c>
      <c r="T48" s="18" t="n">
        <f aca="false">($D$6+$D$10)/2+(($F$6+$F$10)/2-($D$6+$D$10)/2)*$G$30</f>
        <v>65</v>
      </c>
      <c r="U48" s="18" t="n">
        <f aca="false">($E$6+$E$10)/2+(($G$6+$G$10)/2-($E$6+$E$10)/2)*$G$30</f>
        <v>60</v>
      </c>
      <c r="V48" s="18" t="n">
        <f aca="false">T48+(T49-T48)*$G$30</f>
        <v>89</v>
      </c>
      <c r="W48" s="18" t="n">
        <f aca="false">U48+(U49-U48)*$G$30</f>
        <v>52</v>
      </c>
      <c r="X48" s="18" t="n">
        <f aca="false">($D$6+$D$10)/2+(($F$6+$F$10)/2-($D$6+$D$10)/2)*$L$30</f>
        <v>115</v>
      </c>
      <c r="Y48" s="18" t="n">
        <f aca="false">($E$6+$E$10)/2+(($G$6+$G$10)/2-($E$6+$E$10)/2)*$L$30</f>
        <v>10</v>
      </c>
      <c r="Z48" s="13" t="n">
        <f aca="false">X48+(X49-X48)*$L$30</f>
        <v>124</v>
      </c>
      <c r="AA48" s="18" t="n">
        <f aca="false">Y48+(Y49-Y48)*$L$30</f>
        <v>82</v>
      </c>
    </row>
    <row r="49" customFormat="false" ht="12.75" hidden="false" customHeight="false" outlineLevel="0" collapsed="false">
      <c r="B49" s="13" t="n">
        <f aca="false">$F$6+($H$6-$F$6)*$G$22</f>
        <v>100</v>
      </c>
      <c r="C49" s="19" t="n">
        <f aca="false">$G$6+($I$6-$G$6)*$G$22</f>
        <v>40</v>
      </c>
      <c r="D49" s="18"/>
      <c r="E49" s="18"/>
      <c r="F49" s="18" t="n">
        <f aca="false">$F$6+($H$6-$F$6)*$L$22</f>
        <v>100</v>
      </c>
      <c r="G49" s="18" t="n">
        <f aca="false">$G$6+($I$6-$G$6)*$L$22</f>
        <v>90</v>
      </c>
      <c r="H49" s="18"/>
      <c r="I49" s="18"/>
      <c r="K49" s="18" t="n">
        <f aca="false">$F$10+($H$10-$F$10)*$G$26</f>
        <v>150</v>
      </c>
      <c r="L49" s="18" t="n">
        <f aca="false">$G$10+($I$10-$G$10)*$G$26</f>
        <v>40</v>
      </c>
      <c r="M49" s="18"/>
      <c r="N49" s="18"/>
      <c r="O49" s="18" t="n">
        <f aca="false">$F$10+($H$10-$F$10)*$L$26</f>
        <v>150</v>
      </c>
      <c r="P49" s="18" t="n">
        <f aca="false">$G$10+($I$10-$G$10)*$L$26</f>
        <v>90</v>
      </c>
      <c r="Q49" s="18"/>
      <c r="R49" s="18"/>
      <c r="T49" s="18" t="n">
        <f aca="false">($F$6+$F$10)/2+(($H$6+$H$10)/2-($F$6+$F$10)/2)*$G$30</f>
        <v>125</v>
      </c>
      <c r="U49" s="18" t="n">
        <f aca="false">($G$6+$G$10)/2+(($I$6+$I$10)/2-($G$6+$G$10)/2)*$G$30</f>
        <v>40</v>
      </c>
      <c r="V49" s="18"/>
      <c r="W49" s="18"/>
      <c r="X49" s="18" t="n">
        <f aca="false">($F$6+$F$10)/2+(($H$6+$H$10)/2-($F$6+$F$10)/2)*$L$30</f>
        <v>125</v>
      </c>
      <c r="Y49" s="18" t="n">
        <f aca="false">($G$6+$G$10)/2+(($I$6+$I$10)/2-($G$6+$G$10)/2)*$L$30</f>
        <v>90</v>
      </c>
      <c r="Z49" s="18"/>
      <c r="AA49" s="18"/>
    </row>
    <row r="50" customFormat="false" ht="12.75" hidden="false" customHeight="false" outlineLevel="0" collapsed="false">
      <c r="B50" s="18"/>
      <c r="C50" s="18"/>
      <c r="D50" s="18"/>
      <c r="E50" s="18"/>
      <c r="F50" s="13" t="n">
        <f aca="false">$B$6+($D$6-$B$6)*$M$22</f>
        <v>0</v>
      </c>
      <c r="G50" s="13" t="n">
        <f aca="false">$C$6+($E$6-$C$6)*$M$22</f>
        <v>100</v>
      </c>
      <c r="H50" s="18" t="n">
        <f aca="false">F50+(F51-F50)*$M$22</f>
        <v>100</v>
      </c>
      <c r="I50" s="18" t="n">
        <f aca="false">G50+(G51-G50)*$M$22</f>
        <v>0</v>
      </c>
      <c r="K50" s="18"/>
      <c r="L50" s="18"/>
      <c r="M50" s="18"/>
      <c r="N50" s="18"/>
      <c r="O50" s="13" t="n">
        <f aca="false">$B$10+($D$10-$B$10)*$M$26</f>
        <v>50</v>
      </c>
      <c r="P50" s="13" t="n">
        <f aca="false">$C$10+($E$10-$C$10)*$M$26</f>
        <v>100</v>
      </c>
      <c r="Q50" s="18" t="n">
        <f aca="false">O50+(O51-O50)*$M$26</f>
        <v>150</v>
      </c>
      <c r="R50" s="18" t="n">
        <f aca="false">P50+(P51-P50)*$M$26</f>
        <v>0</v>
      </c>
      <c r="T50" s="18"/>
      <c r="U50" s="18"/>
      <c r="V50" s="18"/>
      <c r="W50" s="18"/>
      <c r="X50" s="13" t="n">
        <f aca="false">($B$6+$B$10)/2+(($D$6+$D$10)/2-($B$6+$B$10)/2)*$M$30</f>
        <v>25</v>
      </c>
      <c r="Y50" s="13" t="n">
        <f aca="false">($C$6+$C$10)/2+(($E$6+$E$10)/2-($C$6+$C$10)/2)*$M$30</f>
        <v>100</v>
      </c>
      <c r="Z50" s="18" t="n">
        <f aca="false">X50+(X51-X50)*$M$30</f>
        <v>125</v>
      </c>
      <c r="AA50" s="18" t="n">
        <f aca="false">Y50+(Y51-Y50)*$M$30</f>
        <v>0</v>
      </c>
    </row>
    <row r="51" customFormat="false" ht="12.75" hidden="false" customHeight="false" outlineLevel="0" collapsed="false">
      <c r="B51" s="18"/>
      <c r="C51" s="18"/>
      <c r="D51" s="18"/>
      <c r="E51" s="18"/>
      <c r="F51" s="18" t="n">
        <f aca="false">$D$6+($F$6-$D$6)*$M$22</f>
        <v>100</v>
      </c>
      <c r="G51" s="18" t="n">
        <f aca="false">$E$6+($G$6-$E$6)*$M$22</f>
        <v>0</v>
      </c>
      <c r="H51" s="13" t="n">
        <f aca="false">F51+(F52-F51)*$M$22</f>
        <v>100</v>
      </c>
      <c r="I51" s="18" t="n">
        <f aca="false">G51+(G52-G51)*$M$22</f>
        <v>100</v>
      </c>
      <c r="K51" s="18"/>
      <c r="L51" s="18"/>
      <c r="M51" s="18"/>
      <c r="N51" s="18"/>
      <c r="O51" s="18" t="n">
        <f aca="false">$D$10+($F$10-$D$10)*$M$26</f>
        <v>150</v>
      </c>
      <c r="P51" s="18" t="n">
        <f aca="false">$E$10+($G$10-$E$10)*$M$26</f>
        <v>0</v>
      </c>
      <c r="Q51" s="13" t="n">
        <f aca="false">O51+(O52-O51)*$M$26</f>
        <v>150</v>
      </c>
      <c r="R51" s="18" t="n">
        <f aca="false">P51+(P52-P51)*$M$26</f>
        <v>100</v>
      </c>
      <c r="T51" s="18"/>
      <c r="U51" s="18"/>
      <c r="V51" s="18"/>
      <c r="W51" s="18"/>
      <c r="X51" s="18" t="n">
        <f aca="false">($D$6+$D$10)/2+(($F$6+$F$10)/2-($D$6+$D$10)/2)*$M$30</f>
        <v>125</v>
      </c>
      <c r="Y51" s="18" t="n">
        <f aca="false">($E$6+$E$10)/2+(($G$6+$G$10)/2-($E$6+$E$10)/2)*$M$30</f>
        <v>0</v>
      </c>
      <c r="Z51" s="13" t="n">
        <f aca="false">X51+(X52-X51)*$M$30</f>
        <v>125</v>
      </c>
      <c r="AA51" s="18" t="n">
        <f aca="false">Y51+(Y52-Y51)*$M$30</f>
        <v>100</v>
      </c>
    </row>
    <row r="52" customFormat="false" ht="12" hidden="false" customHeight="false" outlineLevel="0" collapsed="false">
      <c r="B52" s="18"/>
      <c r="C52" s="18"/>
      <c r="D52" s="18"/>
      <c r="E52" s="18"/>
      <c r="F52" s="18" t="n">
        <f aca="false">$F$6+($H$6-$F$6)*$M$22</f>
        <v>100</v>
      </c>
      <c r="G52" s="18" t="n">
        <f aca="false">$G$6+($I$6-$G$6)*$M$22</f>
        <v>100</v>
      </c>
      <c r="H52" s="18"/>
      <c r="I52" s="18"/>
      <c r="K52" s="18"/>
      <c r="L52" s="18"/>
      <c r="M52" s="18"/>
      <c r="N52" s="18"/>
      <c r="O52" s="18" t="n">
        <f aca="false">$F$10+($H$10-$F$10)*$M$26</f>
        <v>150</v>
      </c>
      <c r="P52" s="18" t="n">
        <f aca="false">$G$10+($I$10-$G$10)*$M$26</f>
        <v>100</v>
      </c>
      <c r="Q52" s="18"/>
      <c r="R52" s="18"/>
      <c r="T52" s="18"/>
      <c r="U52" s="18"/>
      <c r="V52" s="18"/>
      <c r="W52" s="18"/>
      <c r="X52" s="18" t="n">
        <f aca="false">($F$6+$F$10)/2+(($H$6+$H$10)/2-($F$6+$F$10)/2)*$M$30</f>
        <v>125</v>
      </c>
      <c r="Y52" s="18" t="n">
        <f aca="false">($G$6+$G$10)/2+(($I$6+$I$10)/2-($G$6+$G$10)/2)*$M$30</f>
        <v>100</v>
      </c>
      <c r="Z52" s="18"/>
      <c r="AA52" s="18"/>
    </row>
  </sheetData>
  <mergeCells count="15">
    <mergeCell ref="B4:C4"/>
    <mergeCell ref="D4:E4"/>
    <mergeCell ref="F4:G4"/>
    <mergeCell ref="H4:I4"/>
    <mergeCell ref="B8:C8"/>
    <mergeCell ref="D8:E8"/>
    <mergeCell ref="F8:G8"/>
    <mergeCell ref="H8:I8"/>
    <mergeCell ref="B14:C14"/>
    <mergeCell ref="D14:E14"/>
    <mergeCell ref="F14:G14"/>
    <mergeCell ref="H14:I14"/>
    <mergeCell ref="B34:I34"/>
    <mergeCell ref="K34:R34"/>
    <mergeCell ref="T34:AA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2:V4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0" width="10.1396396396396"/>
  </cols>
  <sheetData>
    <row r="2" customFormat="false" ht="20.25" hidden="false" customHeight="false" outlineLevel="0" collapsed="false">
      <c r="B2" s="1" t="s">
        <v>16</v>
      </c>
    </row>
    <row r="4" customFormat="false" ht="12" hidden="false" customHeight="false" outlineLevel="0" collapsed="false">
      <c r="B4" s="3" t="s">
        <v>17</v>
      </c>
      <c r="C4" s="3"/>
      <c r="D4" s="31" t="s">
        <v>18</v>
      </c>
      <c r="E4" s="31"/>
    </row>
    <row r="5" customFormat="false" ht="12" hidden="false" customHeight="false" outlineLevel="0" collapsed="false">
      <c r="B5" s="3" t="s">
        <v>5</v>
      </c>
      <c r="C5" s="3" t="s">
        <v>6</v>
      </c>
      <c r="D5" s="31" t="s">
        <v>19</v>
      </c>
      <c r="E5" s="31" t="s">
        <v>20</v>
      </c>
    </row>
    <row r="6" customFormat="false" ht="12" hidden="false" customHeight="false" outlineLevel="0" collapsed="false">
      <c r="B6" s="26" t="n">
        <v>100</v>
      </c>
      <c r="C6" s="26" t="n">
        <v>100</v>
      </c>
      <c r="D6" s="32" t="n">
        <v>100</v>
      </c>
      <c r="E6" s="32" t="n">
        <v>50</v>
      </c>
    </row>
    <row r="8" customFormat="false" ht="12" hidden="false" customHeight="false" outlineLevel="0" collapsed="false">
      <c r="B8" s="33" t="s">
        <v>21</v>
      </c>
      <c r="C8" s="33"/>
      <c r="D8" s="33"/>
      <c r="E8" s="33"/>
      <c r="F8" s="33"/>
    </row>
    <row r="9" customFormat="false" ht="12" hidden="false" customHeight="false" outlineLevel="0" collapsed="false">
      <c r="B9" s="33" t="s">
        <v>22</v>
      </c>
      <c r="C9" s="33"/>
      <c r="D9" s="33" t="s">
        <v>23</v>
      </c>
      <c r="E9" s="33"/>
      <c r="F9" s="33"/>
    </row>
    <row r="10" customFormat="false" ht="12" hidden="false" customHeight="false" outlineLevel="0" collapsed="false">
      <c r="B10" s="34" t="n">
        <v>0</v>
      </c>
      <c r="C10" s="34"/>
      <c r="D10" s="35" t="n">
        <f aca="false">RADIANS($B$10)</f>
        <v>0</v>
      </c>
      <c r="E10" s="35"/>
      <c r="F10" s="35"/>
    </row>
    <row r="12" customFormat="false" ht="12" hidden="false" customHeight="false" outlineLevel="0" collapsed="false">
      <c r="B12" s="36" t="s">
        <v>24</v>
      </c>
      <c r="C12" s="36"/>
      <c r="D12" s="36"/>
      <c r="E12" s="36"/>
      <c r="F12" s="36"/>
    </row>
    <row r="13" customFormat="false" ht="12" hidden="false" customHeight="false" outlineLevel="0" collapsed="false">
      <c r="B13" s="36" t="s">
        <v>25</v>
      </c>
      <c r="C13" s="36"/>
      <c r="D13" s="36" t="s">
        <v>26</v>
      </c>
      <c r="E13" s="36"/>
      <c r="F13" s="36"/>
    </row>
    <row r="14" customFormat="false" ht="12" hidden="false" customHeight="false" outlineLevel="0" collapsed="false">
      <c r="B14" s="37" t="n">
        <v>30</v>
      </c>
      <c r="C14" s="37"/>
      <c r="D14" s="38" t="n">
        <f aca="false">RADIANS($B$14)</f>
        <v>0.523598775598299</v>
      </c>
      <c r="E14" s="38"/>
      <c r="F14" s="38"/>
    </row>
    <row r="16" customFormat="false" ht="12" hidden="false" customHeight="false" outlineLevel="0" collapsed="false">
      <c r="B16" s="8" t="s">
        <v>27</v>
      </c>
      <c r="C16" s="8"/>
      <c r="D16" s="8"/>
      <c r="E16" s="8"/>
      <c r="F16" s="8"/>
    </row>
    <row r="17" customFormat="false" ht="12" hidden="false" customHeight="false" outlineLevel="0" collapsed="false">
      <c r="B17" s="8" t="s">
        <v>22</v>
      </c>
      <c r="C17" s="8"/>
      <c r="D17" s="8" t="s">
        <v>23</v>
      </c>
      <c r="E17" s="8"/>
      <c r="F17" s="8"/>
    </row>
    <row r="18" customFormat="false" ht="12" hidden="false" customHeight="false" outlineLevel="0" collapsed="false">
      <c r="B18" s="29" t="n">
        <v>90</v>
      </c>
      <c r="C18" s="29"/>
      <c r="D18" s="39" t="n">
        <f aca="false">RADIANS($B$18)</f>
        <v>1.5707963267949</v>
      </c>
      <c r="E18" s="39"/>
      <c r="F18" s="39"/>
    </row>
    <row r="20" customFormat="false" ht="15" hidden="false" customHeight="false" outlineLevel="0" collapsed="false">
      <c r="B20" s="10" t="s">
        <v>8</v>
      </c>
    </row>
    <row r="22" customFormat="false" ht="12" hidden="false" customHeight="false" outlineLevel="0" collapsed="false">
      <c r="B22" s="31" t="s">
        <v>28</v>
      </c>
      <c r="C22" s="31"/>
      <c r="E22" s="36" t="s">
        <v>29</v>
      </c>
      <c r="F22" s="36"/>
      <c r="G22" s="36"/>
    </row>
    <row r="23" customFormat="false" ht="12" hidden="false" customHeight="false" outlineLevel="0" collapsed="false">
      <c r="B23" s="32" t="n">
        <f aca="false">$E$6/$D$6</f>
        <v>0.5</v>
      </c>
      <c r="C23" s="32"/>
      <c r="E23" s="36" t="s">
        <v>18</v>
      </c>
      <c r="F23" s="36"/>
    </row>
    <row r="24" customFormat="false" ht="12" hidden="false" customHeight="false" outlineLevel="0" collapsed="false">
      <c r="E24" s="36" t="s">
        <v>19</v>
      </c>
      <c r="F24" s="36" t="s">
        <v>20</v>
      </c>
    </row>
    <row r="25" customFormat="false" ht="12" hidden="false" customHeight="false" outlineLevel="0" collapsed="false">
      <c r="E25" s="40" t="n">
        <f aca="false">SQRT(($D$6*COS($D$14)*COS($D$10)-($E$6*SIN($D$14)*SIN($D$10))+($D$6*COS($D$14)*SIN($D$10)+$E$6*SIN($D$14)*COS($D$10))*TAN($D$14))*($D$6*COS($D$14)*COS($D$10)-($E$6*SIN($D$14)*SIN($D$10))+($D$6*COS($D$14)*SIN($D$10)+$E$6*SIN($D$14)*COS($D$10))*TAN($D$14))+($D$6*COS($D$14)*SIN($D$10)+$E$6*SIN($D$14)*COS($D$10))*($D$6*COS($D$14)*SIN($D$10)+$E$6*SIN($D$14)*COS($D$10)))</f>
        <v>104.083299973307</v>
      </c>
      <c r="F25" s="37" t="n">
        <f aca="false">SQRT(($D$6*COS($D$14+PI()/2)*COS($D$10)-($E$6*SIN($D$14+PI()/2)*SIN($D$10))+($D$6*COS($D$14+PI()/2)*SIN($D$10)+$E$6*SIN($D$14+PI()/2)*COS($D$10))*TAN($D$14))*($D$6*COS($D$14+PI()/2)*COS($D$10)-($E$6*SIN($D$14+PI()/2)*SIN($D$10))+($D$6*COS($D$14+PI()/2)*SIN($D$10)+$E$6*SIN($D$14+PI()/2)*COS($D$10))*TAN($D$14))+($D$6*COS($D$14+PI()/2)*SIN($D$10)+$E$6*SIN($D$14+PI()/2)*COS($D$10))*($D$6*COS($D$14+PI()/2)*SIN($D$10)+$E$6*SIN($D$14+PI()/2)*COS($D$10)))</f>
        <v>50</v>
      </c>
    </row>
    <row r="27" customFormat="false" ht="12" hidden="false" customHeight="false" outlineLevel="0" collapsed="false">
      <c r="B27" s="8" t="s">
        <v>5</v>
      </c>
      <c r="C27" s="8" t="s">
        <v>6</v>
      </c>
      <c r="E27" s="36" t="s">
        <v>5</v>
      </c>
      <c r="F27" s="36" t="s">
        <v>6</v>
      </c>
    </row>
    <row r="28" customFormat="false" ht="12" hidden="false" customHeight="false" outlineLevel="0" collapsed="false">
      <c r="B28" s="29" t="n">
        <f aca="false">$B$6+$D$6*COS($D$18)*COS($D$10)-($E$6*SIN($D$18)*SIN($D$10))</f>
        <v>100</v>
      </c>
      <c r="C28" s="30" t="n">
        <f aca="false">$C$6+$D$6*COS($D$18)*SIN($D$10)+$E$6*SIN($D$18)*COS($D$10)</f>
        <v>150</v>
      </c>
      <c r="E28" s="37" t="n">
        <f aca="false">$B$6+$D$6*COS($D$18)*COS($D$10)-($E$6*SIN($D$18)*SIN($D$10))+($D$6*COS($D$18)*SIN($D$10)+$E$6*SIN($D$18)*COS($D$10))*TAN($D$14)</f>
        <v>128.867513459481</v>
      </c>
      <c r="F28" s="37" t="n">
        <f aca="false">$C$6+$D$6*COS($D$18)*SIN($D$10)+$E$6*SIN($D$18)*COS($D$10)</f>
        <v>150</v>
      </c>
    </row>
    <row r="30" customFormat="false" ht="12" hidden="false" customHeight="false" outlineLevel="0" collapsed="false">
      <c r="B30" s="23" t="s">
        <v>30</v>
      </c>
      <c r="C30" s="23"/>
      <c r="D30" s="41" t="n">
        <v>0</v>
      </c>
      <c r="E30" s="41" t="s">
        <v>31</v>
      </c>
      <c r="F30" s="23" t="s">
        <v>32</v>
      </c>
      <c r="G30" s="23" t="s">
        <v>33</v>
      </c>
      <c r="H30" s="23" t="s">
        <v>34</v>
      </c>
      <c r="I30" s="23" t="s">
        <v>35</v>
      </c>
      <c r="J30" s="41" t="s">
        <v>36</v>
      </c>
      <c r="K30" s="41" t="s">
        <v>37</v>
      </c>
      <c r="L30" s="41" t="s">
        <v>38</v>
      </c>
      <c r="M30" s="41" t="s">
        <v>39</v>
      </c>
      <c r="N30" s="41" t="s">
        <v>40</v>
      </c>
      <c r="O30" s="41" t="s">
        <v>41</v>
      </c>
      <c r="P30" s="41" t="s">
        <v>42</v>
      </c>
      <c r="Q30" s="41" t="s">
        <v>43</v>
      </c>
      <c r="R30" s="41" t="s">
        <v>44</v>
      </c>
      <c r="S30" s="41" t="s">
        <v>45</v>
      </c>
      <c r="T30" s="41" t="s">
        <v>46</v>
      </c>
      <c r="U30" s="41" t="s">
        <v>47</v>
      </c>
    </row>
    <row r="31" customFormat="false" ht="12" hidden="false" customHeight="false" outlineLevel="0" collapsed="false">
      <c r="B31" s="23" t="s">
        <v>48</v>
      </c>
      <c r="C31" s="23"/>
      <c r="D31" s="41" t="s">
        <v>49</v>
      </c>
      <c r="E31" s="23" t="s">
        <v>50</v>
      </c>
      <c r="F31" s="23" t="s">
        <v>51</v>
      </c>
      <c r="G31" s="23" t="s">
        <v>52</v>
      </c>
      <c r="H31" s="23" t="s">
        <v>53</v>
      </c>
      <c r="I31" s="23" t="s">
        <v>54</v>
      </c>
      <c r="J31" s="23" t="s">
        <v>55</v>
      </c>
      <c r="K31" s="41" t="s">
        <v>56</v>
      </c>
      <c r="L31" s="41" t="s">
        <v>57</v>
      </c>
      <c r="M31" s="41" t="s">
        <v>58</v>
      </c>
      <c r="N31" s="41" t="s">
        <v>59</v>
      </c>
      <c r="O31" s="41" t="s">
        <v>60</v>
      </c>
      <c r="P31" s="41" t="s">
        <v>61</v>
      </c>
      <c r="Q31" s="41" t="s">
        <v>62</v>
      </c>
      <c r="R31" s="41" t="s">
        <v>63</v>
      </c>
      <c r="S31" s="41" t="s">
        <v>64</v>
      </c>
      <c r="T31" s="41" t="s">
        <v>65</v>
      </c>
      <c r="U31" s="41" t="s">
        <v>66</v>
      </c>
    </row>
    <row r="32" customFormat="false" ht="12" hidden="false" customHeight="false" outlineLevel="0" collapsed="false">
      <c r="B32" s="23" t="s">
        <v>5</v>
      </c>
      <c r="C32" s="23"/>
      <c r="D32" s="17" t="n">
        <f aca="false">$B$6+$D$6*COS(RADIANS(0))*COS($D$10)-($E$6*SIN(RADIANS(0))*SIN($D$10))</f>
        <v>200</v>
      </c>
      <c r="E32" s="17" t="n">
        <f aca="false">$B$6+$D$6*COS(RADIANS(10))*COS($D$10)-($E$6*SIN(RADIANS(10))*SIN($D$10))</f>
        <v>198.480775301221</v>
      </c>
      <c r="F32" s="17" t="n">
        <f aca="false">$B$6+$D$6*COS(RADIANS(20))*COS($D$10)-($E$6*SIN(RADIANS(20))*SIN($D$10))</f>
        <v>193.969262078591</v>
      </c>
      <c r="G32" s="17" t="n">
        <f aca="false">$B$6+$D$6*COS(RADIANS(30))*COS($D$10)-($E$6*SIN(RADIANS(30))*SIN($D$10))</f>
        <v>186.602540378444</v>
      </c>
      <c r="H32" s="17" t="n">
        <f aca="false">$B$6+$D$6*COS(RADIANS(40))*COS($D$10)-($E$6*SIN(RADIANS(40))*SIN($D$10))</f>
        <v>176.604444311898</v>
      </c>
      <c r="I32" s="17" t="n">
        <f aca="false">$B$6+$D$6*COS(RADIANS(50))*COS($D$10)-($E$6*SIN(RADIANS(50))*SIN($D$10))</f>
        <v>164.278760968654</v>
      </c>
      <c r="J32" s="17" t="n">
        <f aca="false">$B$6+$D$6*COS(RADIANS(60))*COS($D$10)-($E$6*SIN(RADIANS(60))*SIN($D$10))</f>
        <v>150</v>
      </c>
      <c r="K32" s="17" t="n">
        <f aca="false">$B$6+$D$6*COS(RADIANS(70))*COS($D$10)-($E$6*SIN(RADIANS(70))*SIN($D$10))</f>
        <v>134.202014332567</v>
      </c>
      <c r="L32" s="17" t="n">
        <f aca="false">$B$6+$D$6*COS(RADIANS(80))*COS($D$10)-($E$6*SIN(RADIANS(80))*SIN($D$10))</f>
        <v>117.364817766693</v>
      </c>
      <c r="M32" s="17" t="n">
        <f aca="false">$B$6+$D$6*COS(RADIANS(90))*COS($D$10)-($E$6*SIN(RADIANS(90))*SIN($D$10))</f>
        <v>100</v>
      </c>
      <c r="N32" s="17" t="n">
        <f aca="false">$B$6+$D$6*COS(RADIANS(100))*COS($D$10)-($E$6*SIN(RADIANS(100))*SIN($D$10))</f>
        <v>82.635182233307</v>
      </c>
      <c r="O32" s="17" t="n">
        <f aca="false">$B$6+$D$6*COS(RADIANS(110))*COS($D$10)-($E$6*SIN(RADIANS(110))*SIN($D$10))</f>
        <v>65.7979856674331</v>
      </c>
      <c r="P32" s="17" t="n">
        <f aca="false">$B$6+$D$6*COS(RADIANS(120))*COS($D$10)-($E$6*SIN(RADIANS(120))*SIN($D$10))</f>
        <v>50</v>
      </c>
      <c r="Q32" s="17" t="n">
        <f aca="false">$B$6+$D$6*COS(RADIANS(130))*COS($D$10)-($E$6*SIN(RADIANS(130))*SIN($D$10))</f>
        <v>35.7212390313461</v>
      </c>
      <c r="R32" s="17" t="n">
        <f aca="false">$B$6+$D$6*COS(RADIANS(140))*COS($D$10)-($E$6*SIN(RADIANS(140))*SIN($D$10))</f>
        <v>23.3955556881022</v>
      </c>
      <c r="S32" s="17" t="n">
        <f aca="false">$B$6+$D$6*COS(RADIANS(150))*COS($D$10)-($E$6*SIN(RADIANS(150))*SIN($D$10))</f>
        <v>13.3974596215561</v>
      </c>
      <c r="T32" s="17" t="n">
        <f aca="false">$B$6+$D$6*COS(RADIANS(160))*COS($D$10)-($E$6*SIN(RADIANS(160))*SIN($D$10))</f>
        <v>6.03073792140917</v>
      </c>
      <c r="U32" s="17" t="n">
        <f aca="false">$B$6+$D$6*COS(RADIANS(170))*COS($D$10)-($E$6*SIN(RADIANS(170))*SIN($D$10))</f>
        <v>1.5192246987792</v>
      </c>
      <c r="V32" s="42" t="n">
        <f aca="false">$B$6+$D$6*COS(RADIANS(180))*COS($D$10)-($E$6*SIN(RADIANS(180))*SIN($D$10))</f>
        <v>0</v>
      </c>
    </row>
    <row r="33" customFormat="false" ht="12" hidden="false" customHeight="false" outlineLevel="0" collapsed="false">
      <c r="B33" s="23" t="s">
        <v>6</v>
      </c>
      <c r="C33" s="23"/>
      <c r="D33" s="17" t="n">
        <f aca="false">$C$6+$D$6*COS(RADIANS(0))*SIN($D$10)+$E$6*SIN(RADIANS(0))*COS($D$10)</f>
        <v>100</v>
      </c>
      <c r="E33" s="17" t="n">
        <f aca="false">$C$6+$D$6*COS(RADIANS(10))*SIN($D$10)+$E$6*SIN(RADIANS(10))*COS($D$10)</f>
        <v>108.682408883347</v>
      </c>
      <c r="F33" s="17" t="n">
        <f aca="false">$C$6+$D$6*COS(RADIANS(20))*SIN($D$10)+$E$6*SIN(RADIANS(20))*COS($D$10)</f>
        <v>117.101007166283</v>
      </c>
      <c r="G33" s="17" t="n">
        <f aca="false">$C$6+$D$6*COS(RADIANS(30))*SIN($D$10)+$E$6*SIN(RADIANS(30))*COS($D$10)</f>
        <v>125</v>
      </c>
      <c r="H33" s="17" t="n">
        <f aca="false">$C$6+$D$6*COS(RADIANS(40))*SIN($D$10)+$E$6*SIN(RADIANS(40))*COS($D$10)</f>
        <v>132.139380484327</v>
      </c>
      <c r="I33" s="17" t="n">
        <f aca="false">$C$6+$D$6*COS(RADIANS(50))*SIN($D$10)+$E$6*SIN(RADIANS(50))*COS($D$10)</f>
        <v>138.302222155949</v>
      </c>
      <c r="J33" s="17" t="n">
        <f aca="false">$C$6+$D$6*COS(RADIANS(60))*SIN($D$10)+$E$6*SIN(RADIANS(60))*COS($D$10)</f>
        <v>143.301270189222</v>
      </c>
      <c r="K33" s="17" t="n">
        <f aca="false">$C$6+$D$6*COS(RADIANS(70))*SIN($D$10)+$E$6*SIN(RADIANS(70))*COS($D$10)</f>
        <v>146.984631039295</v>
      </c>
      <c r="L33" s="17" t="n">
        <f aca="false">$C$6+$D$6*COS(RADIANS(80))*SIN($D$10)+$E$6*SIN(RADIANS(80))*COS($D$10)</f>
        <v>149.24038765061</v>
      </c>
      <c r="M33" s="17" t="n">
        <f aca="false">$C$6+$D$6*COS(RADIANS(90))*SIN($D$10)+$E$6*SIN(RADIANS(90))*COS($D$10)</f>
        <v>150</v>
      </c>
      <c r="N33" s="17" t="n">
        <f aca="false">$C$6+$D$6*COS(RADIANS(100))*SIN($D$10)+$E$6*SIN(RADIANS(100))*COS($D$10)</f>
        <v>149.24038765061</v>
      </c>
      <c r="O33" s="17" t="n">
        <f aca="false">$C$6+$D$6*COS(RADIANS(110))*SIN($D$10)+$E$6*SIN(RADIANS(110))*COS($D$10)</f>
        <v>146.984631039295</v>
      </c>
      <c r="P33" s="17" t="n">
        <f aca="false">$C$6+$D$6*COS(RADIANS(120))*SIN($D$10)+$E$6*SIN(RADIANS(120))*COS($D$10)</f>
        <v>143.301270189222</v>
      </c>
      <c r="Q33" s="17" t="n">
        <f aca="false">$C$6+$D$6*COS(RADIANS(130))*SIN($D$10)+$E$6*SIN(RADIANS(130))*COS($D$10)</f>
        <v>138.302222155949</v>
      </c>
      <c r="R33" s="17" t="n">
        <f aca="false">$C$6+$D$6*COS(RADIANS(140))*SIN($D$10)+$E$6*SIN(RADIANS(140))*COS($D$10)</f>
        <v>132.139380484327</v>
      </c>
      <c r="S33" s="17" t="n">
        <f aca="false">$C$6+$D$6*COS(RADIANS(150))*SIN($D$10)+$E$6*SIN(RADIANS(150))*COS($D$10)</f>
        <v>125</v>
      </c>
      <c r="T33" s="17" t="n">
        <f aca="false">$C$6+$D$6*COS(RADIANS(160))*SIN($D$10)+$E$6*SIN(RADIANS(160))*COS($D$10)</f>
        <v>117.101007166283</v>
      </c>
      <c r="U33" s="17" t="n">
        <f aca="false">$C$6+$D$6*COS(RADIANS(170))*SIN($D$10)+$E$6*SIN(RADIANS(170))*COS($D$10)</f>
        <v>108.682408883347</v>
      </c>
      <c r="V33" s="42" t="n">
        <f aca="false">$C$6+$D$6*COS(RADIANS(180))*SIN($D$10)+$E$6*SIN(RADIANS(180))*COS($D$10)</f>
        <v>100</v>
      </c>
    </row>
    <row r="35" customFormat="false" ht="12" hidden="false" customHeight="false" outlineLevel="0" collapsed="false">
      <c r="B35" s="23" t="s">
        <v>30</v>
      </c>
      <c r="C35" s="23"/>
      <c r="D35" s="41" t="s">
        <v>67</v>
      </c>
      <c r="E35" s="41" t="s">
        <v>68</v>
      </c>
      <c r="F35" s="41" t="s">
        <v>69</v>
      </c>
      <c r="G35" s="41" t="s">
        <v>70</v>
      </c>
      <c r="H35" s="41" t="s">
        <v>71</v>
      </c>
      <c r="I35" s="41" t="s">
        <v>72</v>
      </c>
      <c r="J35" s="41" t="s">
        <v>73</v>
      </c>
      <c r="K35" s="41" t="s">
        <v>74</v>
      </c>
      <c r="L35" s="41" t="s">
        <v>75</v>
      </c>
      <c r="M35" s="41" t="s">
        <v>76</v>
      </c>
      <c r="N35" s="41" t="s">
        <v>77</v>
      </c>
      <c r="O35" s="41" t="s">
        <v>78</v>
      </c>
      <c r="P35" s="41" t="s">
        <v>79</v>
      </c>
      <c r="Q35" s="41" t="s">
        <v>80</v>
      </c>
      <c r="R35" s="41" t="s">
        <v>81</v>
      </c>
      <c r="S35" s="41" t="s">
        <v>82</v>
      </c>
      <c r="T35" s="41" t="s">
        <v>83</v>
      </c>
      <c r="U35" s="41" t="s">
        <v>84</v>
      </c>
    </row>
    <row r="36" customFormat="false" ht="12" hidden="false" customHeight="false" outlineLevel="0" collapsed="false">
      <c r="B36" s="23" t="s">
        <v>48</v>
      </c>
      <c r="C36" s="23"/>
      <c r="D36" s="41" t="s">
        <v>85</v>
      </c>
      <c r="E36" s="41" t="s">
        <v>86</v>
      </c>
      <c r="F36" s="41" t="s">
        <v>87</v>
      </c>
      <c r="G36" s="41" t="s">
        <v>88</v>
      </c>
      <c r="H36" s="41" t="s">
        <v>89</v>
      </c>
      <c r="I36" s="41" t="s">
        <v>90</v>
      </c>
      <c r="J36" s="41" t="s">
        <v>91</v>
      </c>
      <c r="K36" s="41" t="s">
        <v>92</v>
      </c>
      <c r="L36" s="41" t="s">
        <v>93</v>
      </c>
      <c r="M36" s="41" t="s">
        <v>94</v>
      </c>
      <c r="N36" s="41" t="s">
        <v>95</v>
      </c>
      <c r="O36" s="41" t="s">
        <v>96</v>
      </c>
      <c r="P36" s="41" t="s">
        <v>97</v>
      </c>
      <c r="Q36" s="41" t="s">
        <v>98</v>
      </c>
      <c r="R36" s="41" t="s">
        <v>99</v>
      </c>
      <c r="S36" s="41" t="s">
        <v>100</v>
      </c>
      <c r="T36" s="41" t="s">
        <v>101</v>
      </c>
      <c r="U36" s="41" t="s">
        <v>102</v>
      </c>
    </row>
    <row r="37" customFormat="false" ht="12" hidden="false" customHeight="false" outlineLevel="0" collapsed="false">
      <c r="B37" s="23" t="s">
        <v>5</v>
      </c>
      <c r="C37" s="23"/>
      <c r="D37" s="17" t="n">
        <f aca="false">$B$6+$D$6*COS(RADIANS(180))*COS($D$10)-($E$6*SIN(RADIANS(180))*SIN($D$10))</f>
        <v>0</v>
      </c>
      <c r="E37" s="17" t="n">
        <f aca="false">$B$6+$D$6*COS(RADIANS(190))*COS($D$10)-($E$6*SIN(RADIANS(190))*SIN($D$10))</f>
        <v>1.5192246987792</v>
      </c>
      <c r="F37" s="17" t="n">
        <f aca="false">$B$6+$D$6*COS(RADIANS(200))*COS($D$10)-($E$6*SIN(RADIANS(200))*SIN($D$10))</f>
        <v>6.03073792140916</v>
      </c>
      <c r="G37" s="17" t="n">
        <f aca="false">$B$6+$D$6*COS(RADIANS(210))*COS($D$10)-($E$6*SIN(RADIANS(210))*SIN($D$10))</f>
        <v>13.3974596215561</v>
      </c>
      <c r="H37" s="17" t="n">
        <f aca="false">$B$6+$D$6*COS(RADIANS(220))*COS($D$10)-($E$6*SIN(RADIANS(220))*SIN($D$10))</f>
        <v>23.3955556881022</v>
      </c>
      <c r="I37" s="17" t="n">
        <f aca="false">$B$6+$D$6*COS(RADIANS(230))*COS($D$10)-($E$6*SIN(RADIANS(230))*SIN($D$10))</f>
        <v>35.7212390313461</v>
      </c>
      <c r="J37" s="17" t="n">
        <f aca="false">$B$6+$D$6*COS(RADIANS(240))*COS($D$10)-($E$6*SIN(RADIANS(240))*SIN($D$10))</f>
        <v>50</v>
      </c>
      <c r="K37" s="17" t="n">
        <f aca="false">$B$6+$D$6*COS(RADIANS(250))*COS($D$10)-($E$6*SIN(RADIANS(250))*SIN($D$10))</f>
        <v>65.7979856674332</v>
      </c>
      <c r="L37" s="17" t="n">
        <f aca="false">$B$6+$D$6*COS(RADIANS(260))*COS($D$10)-($E$6*SIN(RADIANS(260))*SIN($D$10))</f>
        <v>82.635182233307</v>
      </c>
      <c r="M37" s="17" t="n">
        <f aca="false">$B$6+$D$6*COS(RADIANS(270))*COS($D$10)-($E$6*SIN(RADIANS(270))*SIN($D$10))</f>
        <v>100</v>
      </c>
      <c r="N37" s="17" t="n">
        <f aca="false">$B$6+$D$6*COS(RADIANS(280))*COS($D$10)-($E$6*SIN(RADIANS(280))*SIN($D$10))</f>
        <v>117.364817766693</v>
      </c>
      <c r="O37" s="17" t="n">
        <f aca="false">$B$6+$D$6*COS(RADIANS(290))*COS($D$10)-($E$6*SIN(RADIANS(290))*SIN($D$10))</f>
        <v>134.202014332567</v>
      </c>
      <c r="P37" s="17" t="n">
        <f aca="false">$B$6+$D$6*COS(RADIANS(300))*COS($D$10)-($E$6*SIN(RADIANS(300))*SIN($D$10))</f>
        <v>150</v>
      </c>
      <c r="Q37" s="17" t="n">
        <f aca="false">$B$6+$D$6*COS(RADIANS(310))*COS($D$10)-($E$6*SIN(RADIANS(310))*SIN($D$10))</f>
        <v>164.278760968654</v>
      </c>
      <c r="R37" s="17" t="n">
        <f aca="false">$B$6+$D$6*COS(RADIANS(320))*COS($D$10)-($E$6*SIN(RADIANS(320))*SIN($D$10))</f>
        <v>176.604444311898</v>
      </c>
      <c r="S37" s="17" t="n">
        <f aca="false">$B$6+$D$6*COS(RADIANS(330))*COS($D$10)-($E$6*SIN(RADIANS(330))*SIN($D$10))</f>
        <v>186.602540378444</v>
      </c>
      <c r="T37" s="17" t="n">
        <f aca="false">$B$6+$D$6*COS(RADIANS(340))*COS($D$10)-($E$6*SIN(RADIANS(340))*SIN($D$10))</f>
        <v>193.969262078591</v>
      </c>
      <c r="U37" s="17" t="n">
        <f aca="false">$B$6+$D$6*COS(RADIANS(350))*COS($D$10)-($E$6*SIN(RADIANS(350))*SIN($D$10))</f>
        <v>198.480775301221</v>
      </c>
      <c r="V37" s="42" t="n">
        <f aca="false">$B$6+$D$6*COS(RADIANS(360))*COS($D$10)-($E$6*SIN(RADIANS(360))*SIN($D$10))</f>
        <v>200</v>
      </c>
    </row>
    <row r="38" customFormat="false" ht="12" hidden="false" customHeight="false" outlineLevel="0" collapsed="false">
      <c r="B38" s="23" t="s">
        <v>6</v>
      </c>
      <c r="C38" s="23"/>
      <c r="D38" s="17" t="n">
        <f aca="false">$C$6+$D$6*COS(RADIANS(180))*SIN($D$10)+$E$6*SIN(RADIANS(180))*COS($D$10)</f>
        <v>100</v>
      </c>
      <c r="E38" s="17" t="n">
        <f aca="false">$C$6+$D$6*COS(RADIANS(190))*SIN($D$10)+$E$6*SIN(RADIANS(190))*COS($D$10)</f>
        <v>91.3175911166535</v>
      </c>
      <c r="F38" s="17" t="n">
        <f aca="false">$C$6+$D$6*COS(RADIANS(200))*SIN($D$10)+$E$6*SIN(RADIANS(200))*COS($D$10)</f>
        <v>82.8989928337166</v>
      </c>
      <c r="G38" s="17" t="n">
        <f aca="false">$C$6+$D$6*COS(RADIANS(210))*SIN($D$10)+$E$6*SIN(RADIANS(210))*COS($D$10)</f>
        <v>75</v>
      </c>
      <c r="H38" s="17" t="n">
        <f aca="false">$C$6+$D$6*COS(RADIANS(220))*SIN($D$10)+$E$6*SIN(RADIANS(220))*COS($D$10)</f>
        <v>67.860619515673</v>
      </c>
      <c r="I38" s="17" t="n">
        <f aca="false">$C$6+$D$6*COS(RADIANS(230))*SIN($D$10)+$E$6*SIN(RADIANS(230))*COS($D$10)</f>
        <v>61.6977778440511</v>
      </c>
      <c r="J38" s="17" t="n">
        <f aca="false">$C$6+$D$6*COS(RADIANS(240))*SIN($D$10)+$E$6*SIN(RADIANS(240))*COS($D$10)</f>
        <v>56.6987298107781</v>
      </c>
      <c r="K38" s="17" t="n">
        <f aca="false">$C$6+$D$6*COS(RADIANS(250))*SIN($D$10)+$E$6*SIN(RADIANS(250))*COS($D$10)</f>
        <v>53.0153689607046</v>
      </c>
      <c r="L38" s="17" t="n">
        <f aca="false">$C$6+$D$6*COS(RADIANS(260))*SIN($D$10)+$E$6*SIN(RADIANS(260))*COS($D$10)</f>
        <v>50.7596123493896</v>
      </c>
      <c r="M38" s="17" t="n">
        <f aca="false">$C$6+$D$6*COS(RADIANS(270))*SIN($D$10)+$E$6*SIN(RADIANS(270))*COS($D$10)</f>
        <v>50</v>
      </c>
      <c r="N38" s="17" t="n">
        <f aca="false">$C$6+$D$6*COS(RADIANS(280))*SIN($D$10)+$E$6*SIN(RADIANS(280))*COS($D$10)</f>
        <v>50.7596123493896</v>
      </c>
      <c r="O38" s="17" t="n">
        <f aca="false">$C$6+$D$6*COS(RADIANS(290))*SIN($D$10)+$E$6*SIN(RADIANS(290))*COS($D$10)</f>
        <v>53.0153689607046</v>
      </c>
      <c r="P38" s="17" t="n">
        <f aca="false">$C$6+$D$6*COS(RADIANS(300))*SIN($D$10)+$E$6*SIN(RADIANS(300))*COS($D$10)</f>
        <v>56.6987298107781</v>
      </c>
      <c r="Q38" s="17" t="n">
        <f aca="false">$C$6+$D$6*COS(RADIANS(310))*SIN($D$10)+$E$6*SIN(RADIANS(310))*COS($D$10)</f>
        <v>61.6977778440511</v>
      </c>
      <c r="R38" s="17" t="n">
        <f aca="false">$C$6+$D$6*COS(RADIANS(320))*SIN($D$10)+$E$6*SIN(RADIANS(320))*COS($D$10)</f>
        <v>67.860619515673</v>
      </c>
      <c r="S38" s="17" t="n">
        <f aca="false">$C$6+$D$6*COS(RADIANS(330))*SIN($D$10)+$E$6*SIN(RADIANS(330))*COS($D$10)</f>
        <v>75</v>
      </c>
      <c r="T38" s="17" t="n">
        <f aca="false">$C$6+$D$6*COS(RADIANS(340))*SIN($D$10)+$E$6*SIN(RADIANS(340))*COS($D$10)</f>
        <v>82.8989928337166</v>
      </c>
      <c r="U38" s="17" t="n">
        <f aca="false">$C$6+$D$6*COS(RADIANS(350))*SIN($D$10)+$E$6*SIN(RADIANS(350))*COS($D$10)</f>
        <v>91.3175911166535</v>
      </c>
      <c r="V38" s="42" t="n">
        <f aca="false">$C$6+$D$6*COS(RADIANS(360))*SIN($D$10)+$E$6*SIN(RADIANS(360))*COS($D$10)</f>
        <v>100</v>
      </c>
    </row>
    <row r="40" customFormat="false" ht="12" hidden="false" customHeight="false" outlineLevel="0" collapsed="false">
      <c r="B40" s="36" t="s">
        <v>30</v>
      </c>
      <c r="C40" s="36"/>
      <c r="D40" s="43" t="n">
        <v>0</v>
      </c>
      <c r="E40" s="43" t="s">
        <v>31</v>
      </c>
      <c r="F40" s="36" t="s">
        <v>32</v>
      </c>
      <c r="G40" s="36" t="s">
        <v>33</v>
      </c>
      <c r="H40" s="36" t="s">
        <v>34</v>
      </c>
      <c r="I40" s="36" t="s">
        <v>35</v>
      </c>
      <c r="J40" s="43" t="s">
        <v>36</v>
      </c>
      <c r="K40" s="43" t="s">
        <v>37</v>
      </c>
      <c r="L40" s="43" t="s">
        <v>38</v>
      </c>
      <c r="M40" s="43" t="s">
        <v>39</v>
      </c>
      <c r="N40" s="43" t="s">
        <v>40</v>
      </c>
      <c r="O40" s="43" t="s">
        <v>41</v>
      </c>
      <c r="P40" s="43" t="s">
        <v>42</v>
      </c>
      <c r="Q40" s="43" t="s">
        <v>43</v>
      </c>
      <c r="R40" s="43" t="s">
        <v>44</v>
      </c>
      <c r="S40" s="43" t="s">
        <v>45</v>
      </c>
      <c r="T40" s="43" t="s">
        <v>46</v>
      </c>
      <c r="U40" s="43" t="s">
        <v>47</v>
      </c>
    </row>
    <row r="41" customFormat="false" ht="12" hidden="false" customHeight="false" outlineLevel="0" collapsed="false">
      <c r="B41" s="36" t="s">
        <v>48</v>
      </c>
      <c r="C41" s="36"/>
      <c r="D41" s="43" t="s">
        <v>49</v>
      </c>
      <c r="E41" s="36" t="s">
        <v>50</v>
      </c>
      <c r="F41" s="36" t="s">
        <v>51</v>
      </c>
      <c r="G41" s="36" t="s">
        <v>52</v>
      </c>
      <c r="H41" s="36" t="s">
        <v>53</v>
      </c>
      <c r="I41" s="36" t="s">
        <v>54</v>
      </c>
      <c r="J41" s="36" t="s">
        <v>55</v>
      </c>
      <c r="K41" s="43" t="s">
        <v>56</v>
      </c>
      <c r="L41" s="43" t="s">
        <v>57</v>
      </c>
      <c r="M41" s="43" t="s">
        <v>58</v>
      </c>
      <c r="N41" s="43" t="s">
        <v>59</v>
      </c>
      <c r="O41" s="43" t="s">
        <v>60</v>
      </c>
      <c r="P41" s="43" t="s">
        <v>61</v>
      </c>
      <c r="Q41" s="43" t="s">
        <v>62</v>
      </c>
      <c r="R41" s="43" t="s">
        <v>63</v>
      </c>
      <c r="S41" s="43" t="s">
        <v>64</v>
      </c>
      <c r="T41" s="43" t="s">
        <v>65</v>
      </c>
      <c r="U41" s="43" t="s">
        <v>66</v>
      </c>
    </row>
    <row r="42" customFormat="false" ht="12" hidden="false" customHeight="false" outlineLevel="0" collapsed="false">
      <c r="B42" s="36" t="s">
        <v>5</v>
      </c>
      <c r="C42" s="36"/>
      <c r="D42" s="40" t="n">
        <f aca="false">$B$6+$D$6*COS(RADIANS(0))*COS($D$10)-($E$6*SIN(RADIANS(0))*SIN($D$10))+($D$6*COS(RADIANS(0))*SIN($D$10)+$E$6*SIN(RADIANS(0))*COS($D$10))*TAN($D$14)</f>
        <v>200</v>
      </c>
      <c r="E42" s="40" t="n">
        <f aca="false">$B$6+$D$6*COS(RADIANS(10))*COS($D$10)-($E$6*SIN(RADIANS(10))*SIN($D$10))+($D$6*COS(RADIANS(10))*SIN($D$10)+$E$6*SIN(RADIANS(10))*COS($D$10))*TAN($D$14)</f>
        <v>203.493566407235</v>
      </c>
      <c r="F42" s="40" t="n">
        <f aca="false">$B$6+$D$6*COS(RADIANS(20))*COS($D$10)-($E$6*SIN(RADIANS(20))*SIN($D$10))+($D$6*COS(RADIANS(20))*SIN($D$10)+$E$6*SIN(RADIANS(20))*COS($D$10))*TAN($D$14)</f>
        <v>203.842533169458</v>
      </c>
      <c r="G42" s="40" t="n">
        <f aca="false">$B$6+$D$6*COS(RADIANS(30))*COS($D$10)-($E$6*SIN(RADIANS(30))*SIN($D$10))+($D$6*COS(RADIANS(30))*SIN($D$10)+$E$6*SIN(RADIANS(30))*COS($D$10))*TAN($D$14)</f>
        <v>201.036297108185</v>
      </c>
      <c r="H42" s="40" t="n">
        <f aca="false">$B$6+$D$6*COS(RADIANS(40))*COS($D$10)-($E$6*SIN(RADIANS(40))*SIN($D$10))+($D$6*COS(RADIANS(40))*SIN($D$10)+$E$6*SIN(RADIANS(40))*COS($D$10))*TAN($D$14)</f>
        <v>195.160124286112</v>
      </c>
      <c r="I42" s="40" t="n">
        <f aca="false">$B$6+$D$6*COS(RADIANS(50))*COS($D$10)-($E$6*SIN(RADIANS(50))*SIN($D$10))+($D$6*COS(RADIANS(50))*SIN($D$10)+$E$6*SIN(RADIANS(50))*COS($D$10))*TAN($D$14)</f>
        <v>186.392559240952</v>
      </c>
      <c r="J42" s="40" t="n">
        <f aca="false">$B$6+$D$6*COS(RADIANS(60))*COS($D$10)-($E$6*SIN(RADIANS(60))*SIN($D$10))+($D$6*COS(RADIANS(60))*SIN($D$10)+$E$6*SIN(RADIANS(60))*COS($D$10))*TAN($D$14)</f>
        <v>175</v>
      </c>
      <c r="K42" s="40" t="n">
        <f aca="false">$B$6+$D$6*COS(RADIANS(70))*COS($D$10)-($E$6*SIN(RADIANS(70))*SIN($D$10))+($D$6*COS(RADIANS(70))*SIN($D$10)+$E$6*SIN(RADIANS(70))*COS($D$10))*TAN($D$14)</f>
        <v>161.328603710879</v>
      </c>
      <c r="L42" s="40" t="n">
        <f aca="false">$B$6+$D$6*COS(RADIANS(80))*COS($D$10)-($E$6*SIN(RADIANS(80))*SIN($D$10))+($D$6*COS(RADIANS(80))*SIN($D$10)+$E$6*SIN(RADIANS(80))*COS($D$10))*TAN($D$14)</f>
        <v>145.793768831774</v>
      </c>
      <c r="M42" s="40" t="n">
        <f aca="false">$B$6+$D$6*COS(RADIANS(90))*COS($D$10)-($E$6*SIN(RADIANS(90))*SIN($D$10))+($D$6*COS(RADIANS(90))*SIN($D$10)+$E$6*SIN(RADIANS(90))*COS($D$10))*TAN($D$14)</f>
        <v>128.867513459481</v>
      </c>
      <c r="N42" s="40" t="n">
        <f aca="false">$B$6+$D$6*COS(RADIANS(100))*COS($D$10)-($E$6*SIN(RADIANS(100))*SIN($D$10))+($D$6*COS(RADIANS(100))*SIN($D$10)+$E$6*SIN(RADIANS(100))*COS($D$10))*TAN($D$14)</f>
        <v>111.064133298388</v>
      </c>
      <c r="O42" s="40" t="n">
        <f aca="false">$B$6+$D$6*COS(RADIANS(110))*COS($D$10)-($E$6*SIN(RADIANS(110))*SIN($D$10))+($D$6*COS(RADIANS(110))*SIN($D$10)+$E$6*SIN(RADIANS(110))*COS($D$10))*TAN($D$14)</f>
        <v>92.9245750457456</v>
      </c>
      <c r="P42" s="40" t="n">
        <f aca="false">$B$6+$D$6*COS(RADIANS(120))*COS($D$10)-($E$6*SIN(RADIANS(120))*SIN($D$10))+($D$6*COS(RADIANS(120))*SIN($D$10)+$E$6*SIN(RADIANS(120))*COS($D$10))*TAN($D$14)</f>
        <v>75</v>
      </c>
      <c r="Q42" s="40" t="n">
        <f aca="false">$B$6+$D$6*COS(RADIANS(130))*COS($D$10)-($E$6*SIN(RADIANS(130))*SIN($D$10))+($D$6*COS(RADIANS(130))*SIN($D$10)+$E$6*SIN(RADIANS(130))*COS($D$10))*TAN($D$14)</f>
        <v>57.835037303644</v>
      </c>
      <c r="R42" s="40" t="n">
        <f aca="false">$B$6+$D$6*COS(RADIANS(140))*COS($D$10)-($E$6*SIN(RADIANS(140))*SIN($D$10))+($D$6*COS(RADIANS(140))*SIN($D$10)+$E$6*SIN(RADIANS(140))*COS($D$10))*TAN($D$14)</f>
        <v>41.9512356623162</v>
      </c>
      <c r="S42" s="40" t="n">
        <f aca="false">$B$6+$D$6*COS(RADIANS(150))*COS($D$10)-($E$6*SIN(RADIANS(150))*SIN($D$10))+($D$6*COS(RADIANS(150))*SIN($D$10)+$E$6*SIN(RADIANS(150))*COS($D$10))*TAN($D$14)</f>
        <v>27.8312163512968</v>
      </c>
      <c r="T42" s="40" t="n">
        <f aca="false">$B$6+$D$6*COS(RADIANS(160))*COS($D$10)-($E$6*SIN(RADIANS(160))*SIN($D$10))+($D$6*COS(RADIANS(160))*SIN($D$10)+$E$6*SIN(RADIANS(160))*COS($D$10))*TAN($D$14)</f>
        <v>15.9040090122766</v>
      </c>
      <c r="U42" s="40" t="n">
        <f aca="false">$B$6+$D$6*COS(RADIANS(170))*COS($D$10)-($E$6*SIN(RADIANS(170))*SIN($D$10))+($D$6*COS(RADIANS(170))*SIN($D$10)+$E$6*SIN(RADIANS(170))*COS($D$10))*TAN($D$14)</f>
        <v>6.53201580479371</v>
      </c>
      <c r="V42" s="42" t="n">
        <f aca="false">$B$6+$D$6*COS(RADIANS(180))*COS($D$10)-($E$6*SIN(RADIANS(180))*SIN($D$10))+($D$6*COS(RADIANS(180))*SIN($D$10)+$E$6*SIN(RADIANS(180))*COS($D$10))*TAN($D$14)</f>
        <v>3.53525079574969E-015</v>
      </c>
    </row>
    <row r="43" customFormat="false" ht="12" hidden="false" customHeight="false" outlineLevel="0" collapsed="false">
      <c r="B43" s="36" t="s">
        <v>6</v>
      </c>
      <c r="C43" s="36"/>
      <c r="D43" s="40" t="n">
        <f aca="false">$C$6+$D$6*COS(RADIANS(0))*SIN($D$10)+$E$6*SIN(RADIANS(0))*COS($D$10)</f>
        <v>100</v>
      </c>
      <c r="E43" s="40" t="n">
        <f aca="false">$C$6+$D$6*COS(RADIANS(10))*SIN($D$10)+$E$6*SIN(RADIANS(10))*COS($D$10)</f>
        <v>108.682408883347</v>
      </c>
      <c r="F43" s="40" t="n">
        <f aca="false">$C$6+$D$6*COS(RADIANS(20))*SIN($D$10)+$E$6*SIN(RADIANS(20))*COS($D$10)</f>
        <v>117.101007166283</v>
      </c>
      <c r="G43" s="40" t="n">
        <f aca="false">$C$6+$D$6*COS(RADIANS(30))*SIN($D$10)+$E$6*SIN(RADIANS(30))*COS($D$10)</f>
        <v>125</v>
      </c>
      <c r="H43" s="40" t="n">
        <f aca="false">$C$6+$D$6*COS(RADIANS(40))*SIN($D$10)+$E$6*SIN(RADIANS(40))*COS($D$10)</f>
        <v>132.139380484327</v>
      </c>
      <c r="I43" s="40" t="n">
        <f aca="false">$C$6+$D$6*COS(RADIANS(50))*SIN($D$10)+$E$6*SIN(RADIANS(50))*COS($D$10)</f>
        <v>138.302222155949</v>
      </c>
      <c r="J43" s="40" t="n">
        <f aca="false">$C$6+$D$6*COS(RADIANS(60))*SIN($D$10)+$E$6*SIN(RADIANS(60))*COS($D$10)</f>
        <v>143.301270189222</v>
      </c>
      <c r="K43" s="40" t="n">
        <f aca="false">$C$6+$D$6*COS(RADIANS(70))*SIN($D$10)+$E$6*SIN(RADIANS(70))*COS($D$10)</f>
        <v>146.984631039295</v>
      </c>
      <c r="L43" s="40" t="n">
        <f aca="false">$C$6+$D$6*COS(RADIANS(80))*SIN($D$10)+$E$6*SIN(RADIANS(80))*COS($D$10)</f>
        <v>149.24038765061</v>
      </c>
      <c r="M43" s="40" t="n">
        <f aca="false">$C$6+$D$6*COS(RADIANS(90))*SIN($D$10)+$E$6*SIN(RADIANS(90))*COS($D$10)</f>
        <v>150</v>
      </c>
      <c r="N43" s="40" t="n">
        <f aca="false">$C$6+$D$6*COS(RADIANS(100))*SIN($D$10)+$E$6*SIN(RADIANS(100))*COS($D$10)</f>
        <v>149.24038765061</v>
      </c>
      <c r="O43" s="40" t="n">
        <f aca="false">$C$6+$D$6*COS(RADIANS(110))*SIN($D$10)+$E$6*SIN(RADIANS(110))*COS($D$10)</f>
        <v>146.984631039295</v>
      </c>
      <c r="P43" s="40" t="n">
        <f aca="false">$C$6+$D$6*COS(RADIANS(120))*SIN($D$10)+$E$6*SIN(RADIANS(120))*COS($D$10)</f>
        <v>143.301270189222</v>
      </c>
      <c r="Q43" s="40" t="n">
        <f aca="false">$C$6+$D$6*COS(RADIANS(130))*SIN($D$10)+$E$6*SIN(RADIANS(130))*COS($D$10)</f>
        <v>138.302222155949</v>
      </c>
      <c r="R43" s="40" t="n">
        <f aca="false">$C$6+$D$6*COS(RADIANS(140))*SIN($D$10)+$E$6*SIN(RADIANS(140))*COS($D$10)</f>
        <v>132.139380484327</v>
      </c>
      <c r="S43" s="40" t="n">
        <f aca="false">$C$6+$D$6*COS(RADIANS(150))*SIN($D$10)+$E$6*SIN(RADIANS(150))*COS($D$10)</f>
        <v>125</v>
      </c>
      <c r="T43" s="40" t="n">
        <f aca="false">$C$6+$D$6*COS(RADIANS(160))*SIN($D$10)+$E$6*SIN(RADIANS(160))*COS($D$10)</f>
        <v>117.101007166283</v>
      </c>
      <c r="U43" s="40" t="n">
        <f aca="false">$C$6+$D$6*COS(RADIANS(170))*SIN($D$10)+$E$6*SIN(RADIANS(170))*COS($D$10)</f>
        <v>108.682408883347</v>
      </c>
      <c r="V43" s="42" t="n">
        <f aca="false">$C$6+$D$6*COS(RADIANS(180))*SIN($D$10)+$E$6*SIN(RADIANS(180))*COS($D$10)</f>
        <v>100</v>
      </c>
    </row>
    <row r="45" customFormat="false" ht="12" hidden="false" customHeight="false" outlineLevel="0" collapsed="false">
      <c r="B45" s="36" t="s">
        <v>30</v>
      </c>
      <c r="C45" s="36"/>
      <c r="D45" s="43" t="s">
        <v>67</v>
      </c>
      <c r="E45" s="43" t="s">
        <v>68</v>
      </c>
      <c r="F45" s="43" t="s">
        <v>69</v>
      </c>
      <c r="G45" s="43" t="s">
        <v>70</v>
      </c>
      <c r="H45" s="43" t="s">
        <v>71</v>
      </c>
      <c r="I45" s="43" t="s">
        <v>72</v>
      </c>
      <c r="J45" s="43" t="s">
        <v>73</v>
      </c>
      <c r="K45" s="43" t="s">
        <v>74</v>
      </c>
      <c r="L45" s="43" t="s">
        <v>75</v>
      </c>
      <c r="M45" s="43" t="s">
        <v>76</v>
      </c>
      <c r="N45" s="43" t="s">
        <v>77</v>
      </c>
      <c r="O45" s="43" t="s">
        <v>78</v>
      </c>
      <c r="P45" s="43" t="s">
        <v>79</v>
      </c>
      <c r="Q45" s="43" t="s">
        <v>80</v>
      </c>
      <c r="R45" s="43" t="s">
        <v>81</v>
      </c>
      <c r="S45" s="43" t="s">
        <v>82</v>
      </c>
      <c r="T45" s="43" t="s">
        <v>83</v>
      </c>
      <c r="U45" s="43" t="s">
        <v>84</v>
      </c>
    </row>
    <row r="46" customFormat="false" ht="12" hidden="false" customHeight="false" outlineLevel="0" collapsed="false">
      <c r="B46" s="36" t="s">
        <v>48</v>
      </c>
      <c r="C46" s="36"/>
      <c r="D46" s="43" t="s">
        <v>85</v>
      </c>
      <c r="E46" s="43" t="s">
        <v>86</v>
      </c>
      <c r="F46" s="43" t="s">
        <v>87</v>
      </c>
      <c r="G46" s="43" t="s">
        <v>88</v>
      </c>
      <c r="H46" s="43" t="s">
        <v>89</v>
      </c>
      <c r="I46" s="43" t="s">
        <v>90</v>
      </c>
      <c r="J46" s="43" t="s">
        <v>91</v>
      </c>
      <c r="K46" s="43" t="s">
        <v>92</v>
      </c>
      <c r="L46" s="43" t="s">
        <v>93</v>
      </c>
      <c r="M46" s="43" t="s">
        <v>94</v>
      </c>
      <c r="N46" s="43" t="s">
        <v>95</v>
      </c>
      <c r="O46" s="43" t="s">
        <v>96</v>
      </c>
      <c r="P46" s="43" t="s">
        <v>97</v>
      </c>
      <c r="Q46" s="43" t="s">
        <v>98</v>
      </c>
      <c r="R46" s="43" t="s">
        <v>99</v>
      </c>
      <c r="S46" s="43" t="s">
        <v>100</v>
      </c>
      <c r="T46" s="43" t="s">
        <v>101</v>
      </c>
      <c r="U46" s="43" t="s">
        <v>102</v>
      </c>
    </row>
    <row r="47" customFormat="false" ht="12" hidden="false" customHeight="false" outlineLevel="0" collapsed="false">
      <c r="B47" s="36" t="s">
        <v>5</v>
      </c>
      <c r="C47" s="36"/>
      <c r="D47" s="40" t="n">
        <f aca="false">$B$6+$D$6*COS(RADIANS(180))*COS($D$10)-($E$6*SIN(RADIANS(180))*SIN($D$10))+($D$6*COS(RADIANS(180))*SIN($D$10)+$E$6*SIN(RADIANS(180))*COS($D$10))*TAN($D$14)</f>
        <v>3.53525079574969E-015</v>
      </c>
      <c r="E47" s="40" t="n">
        <f aca="false">$B$6+$D$6*COS(RADIANS(190))*COS($D$10)-($E$6*SIN(RADIANS(190))*SIN($D$10))+($D$6*COS(RADIANS(190))*SIN($D$10)+$E$6*SIN(RADIANS(190))*COS($D$10))*TAN($D$14)</f>
        <v>-3.49356640723532</v>
      </c>
      <c r="F47" s="40" t="n">
        <f aca="false">$B$6+$D$6*COS(RADIANS(200))*COS($D$10)-($E$6*SIN(RADIANS(200))*SIN($D$10))+($D$6*COS(RADIANS(200))*SIN($D$10)+$E$6*SIN(RADIANS(200))*COS($D$10))*TAN($D$14)</f>
        <v>-3.8425331694583</v>
      </c>
      <c r="G47" s="40" t="n">
        <f aca="false">$B$6+$D$6*COS(RADIANS(210))*COS($D$10)-($E$6*SIN(RADIANS(210))*SIN($D$10))+($D$6*COS(RADIANS(210))*SIN($D$10)+$E$6*SIN(RADIANS(210))*COS($D$10))*TAN($D$14)</f>
        <v>-1.03629710818451</v>
      </c>
      <c r="H47" s="40" t="n">
        <f aca="false">$B$6+$D$6*COS(RADIANS(220))*COS($D$10)-($E$6*SIN(RADIANS(220))*SIN($D$10))+($D$6*COS(RADIANS(220))*SIN($D$10)+$E$6*SIN(RADIANS(220))*COS($D$10))*TAN($D$14)</f>
        <v>4.83987571388822</v>
      </c>
      <c r="I47" s="40" t="n">
        <f aca="false">$B$6+$D$6*COS(RADIANS(230))*COS($D$10)-($E$6*SIN(RADIANS(230))*SIN($D$10))+($D$6*COS(RADIANS(230))*SIN($D$10)+$E$6*SIN(RADIANS(230))*COS($D$10))*TAN($D$14)</f>
        <v>13.6074407590481</v>
      </c>
      <c r="J47" s="40" t="n">
        <f aca="false">$B$6+$D$6*COS(RADIANS(240))*COS($D$10)-($E$6*SIN(RADIANS(240))*SIN($D$10))+($D$6*COS(RADIANS(240))*SIN($D$10)+$E$6*SIN(RADIANS(240))*COS($D$10))*TAN($D$14)</f>
        <v>25</v>
      </c>
      <c r="K47" s="40" t="n">
        <f aca="false">$B$6+$D$6*COS(RADIANS(250))*COS($D$10)-($E$6*SIN(RADIANS(250))*SIN($D$10))+($D$6*COS(RADIANS(250))*SIN($D$10)+$E$6*SIN(RADIANS(250))*COS($D$10))*TAN($D$14)</f>
        <v>38.6713962891207</v>
      </c>
      <c r="L47" s="40" t="n">
        <f aca="false">$B$6+$D$6*COS(RADIANS(260))*COS($D$10)-($E$6*SIN(RADIANS(260))*SIN($D$10))+($D$6*COS(RADIANS(260))*SIN($D$10)+$E$6*SIN(RADIANS(260))*COS($D$10))*TAN($D$14)</f>
        <v>54.2062311682255</v>
      </c>
      <c r="M47" s="40" t="n">
        <f aca="false">$B$6+$D$6*COS(RADIANS(270))*COS($D$10)-($E$6*SIN(RADIANS(270))*SIN($D$10))+($D$6*COS(RADIANS(270))*SIN($D$10)+$E$6*SIN(RADIANS(270))*COS($D$10))*TAN($D$14)</f>
        <v>71.1324865405187</v>
      </c>
      <c r="N47" s="40" t="n">
        <f aca="false">$B$6+$D$6*COS(RADIANS(280))*COS($D$10)-($E$6*SIN(RADIANS(280))*SIN($D$10))+($D$6*COS(RADIANS(280))*SIN($D$10)+$E$6*SIN(RADIANS(280))*COS($D$10))*TAN($D$14)</f>
        <v>88.9358667016116</v>
      </c>
      <c r="O47" s="40" t="n">
        <f aca="false">$B$6+$D$6*COS(RADIANS(290))*COS($D$10)-($E$6*SIN(RADIANS(290))*SIN($D$10))+($D$6*COS(RADIANS(290))*SIN($D$10)+$E$6*SIN(RADIANS(290))*COS($D$10))*TAN($D$14)</f>
        <v>107.075424954254</v>
      </c>
      <c r="P47" s="40" t="n">
        <f aca="false">$B$6+$D$6*COS(RADIANS(300))*COS($D$10)-($E$6*SIN(RADIANS(300))*SIN($D$10))+($D$6*COS(RADIANS(300))*SIN($D$10)+$E$6*SIN(RADIANS(300))*COS($D$10))*TAN($D$14)</f>
        <v>125</v>
      </c>
      <c r="Q47" s="40" t="n">
        <f aca="false">$B$6+$D$6*COS(RADIANS(310))*COS($D$10)-($E$6*SIN(RADIANS(310))*SIN($D$10))+($D$6*COS(RADIANS(310))*SIN($D$10)+$E$6*SIN(RADIANS(310))*COS($D$10))*TAN($D$14)</f>
        <v>142.164962696356</v>
      </c>
      <c r="R47" s="40" t="n">
        <f aca="false">$B$6+$D$6*COS(RADIANS(320))*COS($D$10)-($E$6*SIN(RADIANS(320))*SIN($D$10))+($D$6*COS(RADIANS(320))*SIN($D$10)+$E$6*SIN(RADIANS(320))*COS($D$10))*TAN($D$14)</f>
        <v>158.048764337684</v>
      </c>
      <c r="S47" s="40" t="n">
        <f aca="false">$B$6+$D$6*COS(RADIANS(330))*COS($D$10)-($E$6*SIN(RADIANS(330))*SIN($D$10))+($D$6*COS(RADIANS(330))*SIN($D$10)+$E$6*SIN(RADIANS(330))*COS($D$10))*TAN($D$14)</f>
        <v>172.168783648703</v>
      </c>
      <c r="T47" s="40" t="n">
        <f aca="false">$B$6+$D$6*COS(RADIANS(340))*COS($D$10)-($E$6*SIN(RADIANS(340))*SIN($D$10))+($D$6*COS(RADIANS(340))*SIN($D$10)+$E$6*SIN(RADIANS(340))*COS($D$10))*TAN($D$14)</f>
        <v>184.095990987723</v>
      </c>
      <c r="U47" s="40" t="n">
        <f aca="false">$B$6+$D$6*COS(RADIANS(350))*COS($D$10)-($E$6*SIN(RADIANS(350))*SIN($D$10))+($D$6*COS(RADIANS(350))*SIN($D$10)+$E$6*SIN(RADIANS(350))*COS($D$10))*TAN($D$14)</f>
        <v>193.467984195206</v>
      </c>
      <c r="V47" s="42" t="n">
        <f aca="false">$B$6+$D$6*COS(RADIANS(360))*COS($D$10)-($E$6*SIN(RADIANS(360))*SIN($D$10))+($D$6*COS(RADIANS(360))*SIN($D$10)+$E$6*SIN(RADIANS(360))*COS($D$10))*TAN($D$14)</f>
        <v>200</v>
      </c>
    </row>
    <row r="48" customFormat="false" ht="12" hidden="false" customHeight="false" outlineLevel="0" collapsed="false">
      <c r="B48" s="36" t="s">
        <v>6</v>
      </c>
      <c r="C48" s="36"/>
      <c r="D48" s="40" t="n">
        <f aca="false">$C$6+$D$6*COS(RADIANS(180))*SIN($D$10)+$E$6*SIN(RADIANS(180))*COS($D$10)</f>
        <v>100</v>
      </c>
      <c r="E48" s="40" t="n">
        <f aca="false">$C$6+$D$6*COS(RADIANS(190))*SIN($D$10)+$E$6*SIN(RADIANS(190))*COS($D$10)</f>
        <v>91.3175911166535</v>
      </c>
      <c r="F48" s="40" t="n">
        <f aca="false">$C$6+$D$6*COS(RADIANS(200))*SIN($D$10)+$E$6*SIN(RADIANS(200))*COS($D$10)</f>
        <v>82.8989928337166</v>
      </c>
      <c r="G48" s="40" t="n">
        <f aca="false">$C$6+$D$6*COS(RADIANS(210))*SIN($D$10)+$E$6*SIN(RADIANS(210))*COS($D$10)</f>
        <v>75</v>
      </c>
      <c r="H48" s="40" t="n">
        <f aca="false">$C$6+$D$6*COS(RADIANS(220))*SIN($D$10)+$E$6*SIN(RADIANS(220))*COS($D$10)</f>
        <v>67.860619515673</v>
      </c>
      <c r="I48" s="40" t="n">
        <f aca="false">$C$6+$D$6*COS(RADIANS(230))*SIN($D$10)+$E$6*SIN(RADIANS(230))*COS($D$10)</f>
        <v>61.6977778440511</v>
      </c>
      <c r="J48" s="40" t="n">
        <f aca="false">$C$6+$D$6*COS(RADIANS(240))*SIN($D$10)+$E$6*SIN(RADIANS(240))*COS($D$10)</f>
        <v>56.6987298107781</v>
      </c>
      <c r="K48" s="40" t="n">
        <f aca="false">$C$6+$D$6*COS(RADIANS(250))*SIN($D$10)+$E$6*SIN(RADIANS(250))*COS($D$10)</f>
        <v>53.0153689607046</v>
      </c>
      <c r="L48" s="40" t="n">
        <f aca="false">$C$6+$D$6*COS(RADIANS(260))*SIN($D$10)+$E$6*SIN(RADIANS(260))*COS($D$10)</f>
        <v>50.7596123493896</v>
      </c>
      <c r="M48" s="40" t="n">
        <f aca="false">$C$6+$D$6*COS(RADIANS(270))*SIN($D$10)+$E$6*SIN(RADIANS(270))*COS($D$10)</f>
        <v>50</v>
      </c>
      <c r="N48" s="40" t="n">
        <f aca="false">$C$6+$D$6*COS(RADIANS(280))*SIN($D$10)+$E$6*SIN(RADIANS(280))*COS($D$10)</f>
        <v>50.7596123493896</v>
      </c>
      <c r="O48" s="40" t="n">
        <f aca="false">$C$6+$D$6*COS(RADIANS(290))*SIN($D$10)+$E$6*SIN(RADIANS(290))*COS($D$10)</f>
        <v>53.0153689607046</v>
      </c>
      <c r="P48" s="40" t="n">
        <f aca="false">$C$6+$D$6*COS(RADIANS(300))*SIN($D$10)+$E$6*SIN(RADIANS(300))*COS($D$10)</f>
        <v>56.6987298107781</v>
      </c>
      <c r="Q48" s="40" t="n">
        <f aca="false">$C$6+$D$6*COS(RADIANS(310))*SIN($D$10)+$E$6*SIN(RADIANS(310))*COS($D$10)</f>
        <v>61.6977778440511</v>
      </c>
      <c r="R48" s="40" t="n">
        <f aca="false">$C$6+$D$6*COS(RADIANS(320))*SIN($D$10)+$E$6*SIN(RADIANS(320))*COS($D$10)</f>
        <v>67.860619515673</v>
      </c>
      <c r="S48" s="40" t="n">
        <f aca="false">$C$6+$D$6*COS(RADIANS(330))*SIN($D$10)+$E$6*SIN(RADIANS(330))*COS($D$10)</f>
        <v>75</v>
      </c>
      <c r="T48" s="40" t="n">
        <f aca="false">$C$6+$D$6*COS(RADIANS(340))*SIN($D$10)+$E$6*SIN(RADIANS(340))*COS($D$10)</f>
        <v>82.8989928337166</v>
      </c>
      <c r="U48" s="40" t="n">
        <f aca="false">$C$6+$D$6*COS(RADIANS(350))*SIN($D$10)+$E$6*SIN(RADIANS(350))*COS($D$10)</f>
        <v>91.3175911166535</v>
      </c>
      <c r="V48" s="42" t="n">
        <f aca="false">$C$6+$D$6*COS(RADIANS(360))*SIN($D$10)+$E$6*SIN(RADIANS(360))*COS($D$10)</f>
        <v>100</v>
      </c>
    </row>
  </sheetData>
  <mergeCells count="37">
    <mergeCell ref="B4:C4"/>
    <mergeCell ref="D4:E4"/>
    <mergeCell ref="B8:F8"/>
    <mergeCell ref="B9:C9"/>
    <mergeCell ref="D9:F9"/>
    <mergeCell ref="B10:C10"/>
    <mergeCell ref="D10:F10"/>
    <mergeCell ref="B12:F12"/>
    <mergeCell ref="B13:C13"/>
    <mergeCell ref="D13:F13"/>
    <mergeCell ref="B14:C14"/>
    <mergeCell ref="D14:F14"/>
    <mergeCell ref="B16:F16"/>
    <mergeCell ref="B17:C17"/>
    <mergeCell ref="D17:F17"/>
    <mergeCell ref="B18:C18"/>
    <mergeCell ref="D18:F18"/>
    <mergeCell ref="B22:C22"/>
    <mergeCell ref="E22:G22"/>
    <mergeCell ref="B23:C23"/>
    <mergeCell ref="E23:F23"/>
    <mergeCell ref="B30:C30"/>
    <mergeCell ref="B31:C31"/>
    <mergeCell ref="B32:C32"/>
    <mergeCell ref="B33:C33"/>
    <mergeCell ref="B35:C35"/>
    <mergeCell ref="B36:C36"/>
    <mergeCell ref="B37:C37"/>
    <mergeCell ref="B38:C38"/>
    <mergeCell ref="B40:C40"/>
    <mergeCell ref="B41:C41"/>
    <mergeCell ref="B42:C42"/>
    <mergeCell ref="B43:C43"/>
    <mergeCell ref="B45:C45"/>
    <mergeCell ref="B46:C46"/>
    <mergeCell ref="B47:C47"/>
    <mergeCell ref="B48:C4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2:V5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0" width="10.1396396396396"/>
  </cols>
  <sheetData>
    <row r="2" customFormat="false" ht="20.25" hidden="false" customHeight="false" outlineLevel="0" collapsed="false">
      <c r="B2" s="1" t="s">
        <v>103</v>
      </c>
    </row>
    <row r="4" customFormat="false" ht="12.75" hidden="false" customHeight="false" outlineLevel="0" collapsed="false">
      <c r="B4" s="3" t="s">
        <v>104</v>
      </c>
      <c r="C4" s="3"/>
      <c r="D4" s="8" t="s">
        <v>105</v>
      </c>
    </row>
    <row r="5" customFormat="false" ht="12.75" hidden="false" customHeight="false" outlineLevel="0" collapsed="false">
      <c r="B5" s="5" t="s">
        <v>5</v>
      </c>
      <c r="C5" s="5" t="s">
        <v>6</v>
      </c>
      <c r="D5" s="11" t="s">
        <v>106</v>
      </c>
    </row>
    <row r="6" customFormat="false" ht="12.75" hidden="false" customHeight="false" outlineLevel="0" collapsed="false">
      <c r="B6" s="7" t="n">
        <v>0</v>
      </c>
      <c r="C6" s="7" t="n">
        <v>0</v>
      </c>
      <c r="D6" s="9" t="n">
        <v>10</v>
      </c>
    </row>
    <row r="8" customFormat="false" ht="15" hidden="false" customHeight="false" outlineLevel="0" collapsed="false">
      <c r="B8" s="10" t="s">
        <v>8</v>
      </c>
    </row>
    <row r="20" customFormat="false" ht="12" hidden="false" customHeight="false" outlineLevel="0" collapsed="false">
      <c r="B20" s="0" t="s">
        <v>10</v>
      </c>
    </row>
    <row r="22" customFormat="false" ht="12" hidden="false" customHeight="false" outlineLevel="0" collapsed="false">
      <c r="B22" s="23" t="s">
        <v>30</v>
      </c>
      <c r="C22" s="23"/>
      <c r="D22" s="41" t="n">
        <v>0</v>
      </c>
      <c r="E22" s="41" t="s">
        <v>31</v>
      </c>
      <c r="F22" s="23" t="s">
        <v>32</v>
      </c>
      <c r="G22" s="23" t="s">
        <v>33</v>
      </c>
      <c r="H22" s="23" t="s">
        <v>34</v>
      </c>
      <c r="I22" s="23" t="s">
        <v>35</v>
      </c>
      <c r="J22" s="41" t="s">
        <v>36</v>
      </c>
      <c r="K22" s="41" t="s">
        <v>37</v>
      </c>
      <c r="L22" s="41" t="s">
        <v>38</v>
      </c>
      <c r="M22" s="41" t="s">
        <v>39</v>
      </c>
      <c r="N22" s="41" t="s">
        <v>40</v>
      </c>
      <c r="O22" s="41" t="s">
        <v>41</v>
      </c>
      <c r="P22" s="41" t="s">
        <v>42</v>
      </c>
      <c r="Q22" s="41" t="s">
        <v>43</v>
      </c>
      <c r="R22" s="41" t="s">
        <v>44</v>
      </c>
      <c r="S22" s="41" t="s">
        <v>45</v>
      </c>
      <c r="T22" s="41" t="s">
        <v>46</v>
      </c>
      <c r="U22" s="41" t="s">
        <v>47</v>
      </c>
    </row>
    <row r="23" customFormat="false" ht="12" hidden="false" customHeight="false" outlineLevel="0" collapsed="false">
      <c r="B23" s="23" t="s">
        <v>48</v>
      </c>
      <c r="C23" s="23"/>
      <c r="D23" s="41" t="s">
        <v>49</v>
      </c>
      <c r="E23" s="23" t="s">
        <v>50</v>
      </c>
      <c r="F23" s="23" t="s">
        <v>51</v>
      </c>
      <c r="G23" s="23" t="s">
        <v>52</v>
      </c>
      <c r="H23" s="23" t="s">
        <v>53</v>
      </c>
      <c r="I23" s="23" t="s">
        <v>54</v>
      </c>
      <c r="J23" s="23" t="s">
        <v>55</v>
      </c>
      <c r="K23" s="41" t="s">
        <v>56</v>
      </c>
      <c r="L23" s="41" t="s">
        <v>57</v>
      </c>
      <c r="M23" s="41" t="s">
        <v>58</v>
      </c>
      <c r="N23" s="41" t="s">
        <v>59</v>
      </c>
      <c r="O23" s="41" t="s">
        <v>60</v>
      </c>
      <c r="P23" s="41" t="s">
        <v>61</v>
      </c>
      <c r="Q23" s="41" t="s">
        <v>62</v>
      </c>
      <c r="R23" s="41" t="s">
        <v>63</v>
      </c>
      <c r="S23" s="41" t="s">
        <v>64</v>
      </c>
      <c r="T23" s="41" t="s">
        <v>65</v>
      </c>
      <c r="U23" s="41" t="s">
        <v>66</v>
      </c>
    </row>
    <row r="24" customFormat="false" ht="12" hidden="false" customHeight="false" outlineLevel="0" collapsed="false">
      <c r="B24" s="23" t="s">
        <v>5</v>
      </c>
      <c r="C24" s="23"/>
      <c r="D24" s="17" t="n">
        <f aca="false">$B$6+$D$6*(COS(RADIANS(0))+RADIANS(0)*SIN(RADIANS(0)))</f>
        <v>10</v>
      </c>
      <c r="E24" s="17" t="n">
        <f aca="false">$B$6+$D$6*(COS(RADIANS(10))+RADIANS(10)*SIN(RADIANS(10)))</f>
        <v>10.1511507741597</v>
      </c>
      <c r="F24" s="17" t="n">
        <f aca="false">$B$6+$D$6*(COS(RADIANS(20))+RADIANS(20)*SIN(RADIANS(20)))</f>
        <v>10.5908017296943</v>
      </c>
      <c r="G24" s="17" t="n">
        <f aca="false">$B$6+$D$6*(COS(RADIANS(30))+RADIANS(30)*SIN(RADIANS(30)))</f>
        <v>11.2782479158359</v>
      </c>
      <c r="H24" s="17" t="n">
        <f aca="false">$B$6+$D$6*(COS(RADIANS(40))+RADIANS(40)*SIN(RADIANS(40)))</f>
        <v>12.1479485032115</v>
      </c>
      <c r="I24" s="17" t="n">
        <f aca="false">$B$6+$D$6*(COS(RADIANS(50))+RADIANS(50)*SIN(RADIANS(50)))</f>
        <v>13.1128749713817</v>
      </c>
      <c r="J24" s="17" t="n">
        <f aca="false">$B$6+$D$6*(COS(RADIANS(60))+RADIANS(60)*SIN(RADIANS(60)))</f>
        <v>14.0689968211711</v>
      </c>
      <c r="K24" s="17" t="n">
        <f aca="false">$B$6+$D$6*(COS(RADIANS(70))+RADIANS(70)*SIN(RADIANS(70)))</f>
        <v>14.9007125658427</v>
      </c>
      <c r="L24" s="17" t="n">
        <f aca="false">$B$6+$D$6*(COS(RADIANS(80))+RADIANS(80)*SIN(RADIANS(80)))</f>
        <v>15.4869920080534</v>
      </c>
      <c r="M24" s="17" t="n">
        <f aca="false">$B$6+$D$6*(COS(RADIANS(90))+RADIANS(90)*SIN(RADIANS(90)))</f>
        <v>15.707963267949</v>
      </c>
      <c r="N24" s="17" t="n">
        <f aca="false">$B$6+$D$6*(COS(RADIANS(100))+RADIANS(100)*SIN(RADIANS(100)))</f>
        <v>15.4516560125608</v>
      </c>
      <c r="O24" s="17" t="n">
        <f aca="false">$B$6+$D$6*(COS(RADIANS(110))+RADIANS(110)*SIN(RADIANS(110)))</f>
        <v>14.6206017750928</v>
      </c>
      <c r="P24" s="17" t="n">
        <f aca="false">$B$6+$D$6*(COS(RADIANS(120))+RADIANS(120)*SIN(RADIANS(120)))</f>
        <v>13.1379936423422</v>
      </c>
      <c r="Q24" s="17" t="n">
        <f aca="false">$B$6+$D$6*(COS(RADIANS(130))+RADIANS(130)*SIN(RADIANS(130)))</f>
        <v>10.953120976877</v>
      </c>
      <c r="R24" s="17" t="n">
        <f aca="false">$B$6+$D$6*(COS(RADIANS(140))+RADIANS(140)*SIN(RADIANS(140)))</f>
        <v>8.04581982088625</v>
      </c>
      <c r="S24" s="17" t="n">
        <f aca="false">$B$6+$D$6*(COS(RADIANS(150))+RADIANS(150)*SIN(RADIANS(150)))</f>
        <v>4.42971535211308</v>
      </c>
      <c r="T24" s="17" t="n">
        <f aca="false">$B$6+$D$6*(COS(RADIANS(160))+RADIANS(160)*SIN(RADIANS(160)))</f>
        <v>0.154077966822245</v>
      </c>
      <c r="U24" s="17" t="n">
        <f aca="false">$B$6+$D$6*(COS(RADIANS(170))+RADIANS(170)*SIN(RADIANS(170)))</f>
        <v>-4.69583238148285</v>
      </c>
      <c r="V24" s="42" t="n">
        <f aca="false">$B$6+$D$6*(COS(RADIANS(180))+RADIANS(180)*SIN(RADIANS(180)))</f>
        <v>-10</v>
      </c>
    </row>
    <row r="25" customFormat="false" ht="12" hidden="false" customHeight="false" outlineLevel="0" collapsed="false">
      <c r="B25" s="23" t="s">
        <v>6</v>
      </c>
      <c r="C25" s="23"/>
      <c r="D25" s="17" t="n">
        <f aca="false">$C$6+$D$6*(SIN(RADIANS(0))-RADIANS(0)*COS(RADIANS(0)))</f>
        <v>0</v>
      </c>
      <c r="E25" s="17" t="n">
        <f aca="false">$C$6+$D$6*(SIN(RADIANS(10))-RADIANS(10)*COS(RADIANS(10)))</f>
        <v>0.0176679977462899</v>
      </c>
      <c r="F25" s="17" t="n">
        <f aca="false">$C$6+$D$6*(SIN(RADIANS(20))-RADIANS(20)*COS(RADIANS(20)))</f>
        <v>0.140055395374966</v>
      </c>
      <c r="G25" s="17" t="n">
        <f aca="false">$C$6+$D$6*(SIN(RADIANS(30))-RADIANS(30)*COS(RADIANS(30)))</f>
        <v>0.465501589414455</v>
      </c>
      <c r="H25" s="17" t="n">
        <f aca="false">$C$6+$D$6*(SIN(RADIANS(40))-RADIANS(40)*COS(RADIANS(40)))</f>
        <v>1.07987699725236</v>
      </c>
      <c r="I25" s="17" t="n">
        <f aca="false">$C$6+$D$6*(SIN(RADIANS(50))-RADIANS(50)*COS(RADIANS(50)))</f>
        <v>2.05106434116263</v>
      </c>
      <c r="J25" s="17" t="n">
        <f aca="false">$C$6+$D$6*(SIN(RADIANS(60))-RADIANS(60)*COS(RADIANS(60)))</f>
        <v>3.4242662818614</v>
      </c>
      <c r="K25" s="17" t="n">
        <f aca="false">$C$6+$D$6*(SIN(RADIANS(70))-RADIANS(70)*COS(RADIANS(70)))</f>
        <v>5.218361881436</v>
      </c>
      <c r="L25" s="17" t="n">
        <f aca="false">$C$6+$D$6*(SIN(RADIANS(80))-RADIANS(80)*COS(RADIANS(80)))</f>
        <v>7.42349157782126</v>
      </c>
      <c r="M25" s="17" t="n">
        <f aca="false">$C$6+$D$6*(SIN(RADIANS(90))-RADIANS(90)*COS(RADIANS(90)))</f>
        <v>10</v>
      </c>
      <c r="N25" s="17" t="n">
        <f aca="false">$C$6+$D$6*(SIN(RADIANS(100))-RADIANS(100)*COS(RADIANS(100)))</f>
        <v>12.8788099704981</v>
      </c>
      <c r="O25" s="17" t="n">
        <f aca="false">$C$6+$D$6*(SIN(RADIANS(110))-RADIANS(110)*COS(RADIANS(110)))</f>
        <v>15.9632415779525</v>
      </c>
      <c r="P25" s="17" t="n">
        <f aca="false">$C$6+$D$6*(SIN(RADIANS(120))-RADIANS(120)*COS(RADIANS(120)))</f>
        <v>19.1322295498104</v>
      </c>
      <c r="Q25" s="17" t="n">
        <f aca="false">$C$6+$D$6*(SIN(RADIANS(130))-RADIANS(130)*COS(RADIANS(130)))</f>
        <v>22.2448326652604</v>
      </c>
      <c r="R25" s="17" t="n">
        <f aca="false">$C$6+$D$6*(SIN(RADIANS(140))-RADIANS(140)*COS(RADIANS(140)))</f>
        <v>25.145872945511</v>
      </c>
      <c r="S25" s="17" t="n">
        <f aca="false">$C$6+$D$6*(SIN(RADIANS(150))-RADIANS(150)*COS(RADIANS(150)))</f>
        <v>27.6724920529277</v>
      </c>
      <c r="T25" s="17" t="n">
        <f aca="false">$C$6+$D$6*(SIN(RADIANS(160))-RADIANS(160)*COS(RADIANS(160)))</f>
        <v>29.6613697363105</v>
      </c>
      <c r="U25" s="17" t="n">
        <f aca="false">$C$6+$D$6*(SIN(RADIANS(170))-RADIANS(170)*COS(RADIANS(170)))</f>
        <v>30.9563160183605</v>
      </c>
      <c r="V25" s="42" t="n">
        <f aca="false">$C$6+$D$6*(SIN(RADIANS(180))-RADIANS(180)*COS(RADIANS(180)))</f>
        <v>31.4159265358979</v>
      </c>
    </row>
    <row r="27" customFormat="false" ht="12" hidden="false" customHeight="false" outlineLevel="0" collapsed="false">
      <c r="B27" s="23" t="s">
        <v>30</v>
      </c>
      <c r="C27" s="23"/>
      <c r="D27" s="41" t="s">
        <v>67</v>
      </c>
      <c r="E27" s="41" t="s">
        <v>68</v>
      </c>
      <c r="F27" s="41" t="s">
        <v>69</v>
      </c>
      <c r="G27" s="41" t="s">
        <v>70</v>
      </c>
      <c r="H27" s="41" t="s">
        <v>71</v>
      </c>
      <c r="I27" s="41" t="s">
        <v>72</v>
      </c>
      <c r="J27" s="41" t="s">
        <v>73</v>
      </c>
      <c r="K27" s="41" t="s">
        <v>74</v>
      </c>
      <c r="L27" s="41" t="s">
        <v>75</v>
      </c>
      <c r="M27" s="41" t="s">
        <v>76</v>
      </c>
      <c r="N27" s="41" t="s">
        <v>77</v>
      </c>
      <c r="O27" s="41" t="s">
        <v>78</v>
      </c>
      <c r="P27" s="41" t="s">
        <v>79</v>
      </c>
      <c r="Q27" s="41" t="s">
        <v>80</v>
      </c>
      <c r="R27" s="41" t="s">
        <v>81</v>
      </c>
      <c r="S27" s="41" t="s">
        <v>82</v>
      </c>
      <c r="T27" s="41" t="s">
        <v>83</v>
      </c>
      <c r="U27" s="41" t="s">
        <v>84</v>
      </c>
    </row>
    <row r="28" customFormat="false" ht="12" hidden="false" customHeight="false" outlineLevel="0" collapsed="false">
      <c r="B28" s="23" t="s">
        <v>48</v>
      </c>
      <c r="C28" s="23"/>
      <c r="D28" s="41" t="s">
        <v>85</v>
      </c>
      <c r="E28" s="41" t="s">
        <v>86</v>
      </c>
      <c r="F28" s="41" t="s">
        <v>87</v>
      </c>
      <c r="G28" s="41" t="s">
        <v>88</v>
      </c>
      <c r="H28" s="41" t="s">
        <v>89</v>
      </c>
      <c r="I28" s="41" t="s">
        <v>90</v>
      </c>
      <c r="J28" s="41" t="s">
        <v>91</v>
      </c>
      <c r="K28" s="41" t="s">
        <v>92</v>
      </c>
      <c r="L28" s="41" t="s">
        <v>93</v>
      </c>
      <c r="M28" s="41" t="s">
        <v>94</v>
      </c>
      <c r="N28" s="41" t="s">
        <v>95</v>
      </c>
      <c r="O28" s="41" t="s">
        <v>96</v>
      </c>
      <c r="P28" s="41" t="s">
        <v>97</v>
      </c>
      <c r="Q28" s="41" t="s">
        <v>98</v>
      </c>
      <c r="R28" s="41" t="s">
        <v>99</v>
      </c>
      <c r="S28" s="41" t="s">
        <v>100</v>
      </c>
      <c r="T28" s="41" t="s">
        <v>101</v>
      </c>
      <c r="U28" s="41" t="s">
        <v>102</v>
      </c>
    </row>
    <row r="29" customFormat="false" ht="12" hidden="false" customHeight="false" outlineLevel="0" collapsed="false">
      <c r="B29" s="23" t="s">
        <v>5</v>
      </c>
      <c r="C29" s="23"/>
      <c r="D29" s="17" t="n">
        <f aca="false">$B$6+$D$6*(COS(RADIANS(180))+RADIANS(180)*SIN(RADIANS(180)))</f>
        <v>-10</v>
      </c>
      <c r="E29" s="17" t="n">
        <f aca="false">$B$6+$D$6*(COS(RADIANS(190))+RADIANS(190)*SIN(RADIANS(190)))</f>
        <v>-15.6064691668365</v>
      </c>
      <c r="F29" s="17" t="n">
        <f aca="false">$B$6+$D$6*(COS(RADIANS(200))+RADIANS(200)*SIN(RADIANS(200)))</f>
        <v>-21.3356814262107</v>
      </c>
      <c r="G29" s="17" t="n">
        <f aca="false">$B$6+$D$6*(COS(RADIANS(210))+RADIANS(210)*SIN(RADIANS(210)))</f>
        <v>-26.9862111837848</v>
      </c>
      <c r="H29" s="17" t="n">
        <f aca="false">$B$6+$D$6*(COS(RADIANS(220))+RADIANS(220)*SIN(RADIANS(220)))</f>
        <v>-32.3417168273092</v>
      </c>
      <c r="I29" s="17" t="n">
        <f aca="false">$B$6+$D$6*(COS(RADIANS(230))+RADIANS(230)*SIN(RADIANS(230)))</f>
        <v>-37.1788709196403</v>
      </c>
      <c r="J29" s="17" t="n">
        <f aca="false">$B$6+$D$6*(COS(RADIANS(240))+RADIANS(240)*SIN(RADIANS(240)))</f>
        <v>-41.2759872846844</v>
      </c>
      <c r="K29" s="17" t="n">
        <f aca="false">$B$6+$D$6*(COS(RADIANS(250))+RADIANS(250)*SIN(RADIANS(250)))</f>
        <v>-44.4220269067782</v>
      </c>
      <c r="L29" s="17" t="n">
        <f aca="false">$B$6+$D$6*(COS(RADIANS(260))+RADIANS(260)*SIN(RADIANS(260)))</f>
        <v>-46.4256400286677</v>
      </c>
      <c r="M29" s="17" t="n">
        <f aca="false">$B$6+$D$6*(COS(RADIANS(270))+RADIANS(270)*SIN(RADIANS(270)))</f>
        <v>-47.1238898038469</v>
      </c>
      <c r="N29" s="17" t="n">
        <f aca="false">$B$6+$D$6*(COS(RADIANS(280))+RADIANS(280)*SIN(RADIANS(280)))</f>
        <v>-46.3903040331751</v>
      </c>
      <c r="O29" s="17" t="n">
        <f aca="false">$B$6+$D$6*(COS(RADIANS(290))+RADIANS(290)*SIN(RADIANS(290)))</f>
        <v>-44.1419161160283</v>
      </c>
      <c r="P29" s="17" t="n">
        <f aca="false">$B$6+$D$6*(COS(RADIANS(300))+RADIANS(300)*SIN(RADIANS(300)))</f>
        <v>-40.3449841058554</v>
      </c>
      <c r="Q29" s="17" t="n">
        <f aca="false">$B$6+$D$6*(COS(RADIANS(310))+RADIANS(310)*SIN(RADIANS(310)))</f>
        <v>-35.0191169251356</v>
      </c>
      <c r="R29" s="17" t="n">
        <f aca="false">$B$6+$D$6*(COS(RADIANS(320))+RADIANS(320)*SIN(RADIANS(320)))</f>
        <v>-28.239588144984</v>
      </c>
      <c r="S29" s="17" t="n">
        <f aca="false">$B$6+$D$6*(COS(RADIANS(330))+RADIANS(330)*SIN(RADIANS(330)))</f>
        <v>-20.1376786200621</v>
      </c>
      <c r="T29" s="17" t="n">
        <f aca="false">$B$6+$D$6*(COS(RADIANS(340))+RADIANS(340)*SIN(RADIANS(340)))</f>
        <v>-10.8989576633387</v>
      </c>
      <c r="U29" s="17" t="n">
        <f aca="false">$B$6+$D$6*(COS(RADIANS(350))+RADIANS(350)*SIN(RADIANS(350)))</f>
        <v>-0.759486011193992</v>
      </c>
      <c r="V29" s="42" t="n">
        <f aca="false">$B$6+$D$6*(COS(RADIANS(360))+RADIANS(360)*SIN(RADIANS(360)))</f>
        <v>9.99999999999998</v>
      </c>
    </row>
    <row r="30" customFormat="false" ht="12" hidden="false" customHeight="false" outlineLevel="0" collapsed="false">
      <c r="B30" s="23" t="s">
        <v>6</v>
      </c>
      <c r="C30" s="23"/>
      <c r="D30" s="17" t="n">
        <f aca="false">$C$6+$D$6*(SIN(RADIANS(180))-RADIANS(180)*COS(RADIANS(180)))</f>
        <v>31.4159265358979</v>
      </c>
      <c r="E30" s="17" t="n">
        <f aca="false">$C$6+$D$6*(SIN(RADIANS(190))-RADIANS(190)*COS(RADIANS(190)))</f>
        <v>30.920980022868</v>
      </c>
      <c r="F30" s="17" t="n">
        <f aca="false">$C$6+$D$6*(SIN(RADIANS(200))-RADIANS(200)*COS(RADIANS(200)))</f>
        <v>29.3812589455605</v>
      </c>
      <c r="G30" s="17" t="n">
        <f aca="false">$C$6+$D$6*(SIN(RADIANS(210))-RADIANS(210)*COS(RADIANS(210)))</f>
        <v>26.7414888740988</v>
      </c>
      <c r="H30" s="17" t="n">
        <f aca="false">$C$6+$D$6*(SIN(RADIANS(220))-RADIANS(220)*COS(RADIANS(220)))</f>
        <v>22.9861189510063</v>
      </c>
      <c r="I30" s="17" t="n">
        <f aca="false">$C$6+$D$6*(SIN(RADIANS(230))-RADIANS(230)*COS(RADIANS(230)))</f>
        <v>18.1427039829351</v>
      </c>
      <c r="J30" s="17" t="n">
        <f aca="false">$C$6+$D$6*(SIN(RADIANS(240))-RADIANS(240)*COS(RADIANS(240)))</f>
        <v>12.2836969860876</v>
      </c>
      <c r="K30" s="17" t="n">
        <f aca="false">$C$6+$D$6*(SIN(RADIANS(250))-RADIANS(250)*COS(RADIANS(250)))</f>
        <v>5.52651781508048</v>
      </c>
      <c r="L30" s="17" t="n">
        <f aca="false">$C$6+$D$6*(SIN(RADIANS(260))-RADIANS(260)*COS(RADIANS(260)))</f>
        <v>-1.96817318514443</v>
      </c>
      <c r="M30" s="17" t="n">
        <f aca="false">$C$6+$D$6*(SIN(RADIANS(270))-RADIANS(270)*COS(RADIANS(270)))</f>
        <v>-9.99999999999999</v>
      </c>
      <c r="N30" s="17" t="n">
        <f aca="false">$C$6+$D$6*(SIN(RADIANS(280))-RADIANS(280)*COS(RADIANS(280)))</f>
        <v>-18.3341283631749</v>
      </c>
      <c r="O30" s="17" t="n">
        <f aca="false">$C$6+$D$6*(SIN(RADIANS(290))-RADIANS(290)*COS(RADIANS(290)))</f>
        <v>-26.708121274469</v>
      </c>
      <c r="P30" s="17" t="n">
        <f aca="false">$C$6+$D$6*(SIN(RADIANS(300))-RADIANS(300)*COS(RADIANS(300)))</f>
        <v>-34.8401928177593</v>
      </c>
      <c r="Q30" s="17" t="n">
        <f aca="false">$C$6+$D$6*(SIN(RADIANS(310))-RADIANS(310)*COS(RADIANS(310)))</f>
        <v>-42.4386009893581</v>
      </c>
      <c r="R30" s="17" t="n">
        <f aca="false">$C$6+$D$6*(SIN(RADIANS(320))-RADIANS(320)*COS(RADIANS(320)))</f>
        <v>-49.2118688937697</v>
      </c>
      <c r="S30" s="17" t="n">
        <f aca="false">$C$6+$D$6*(SIN(RADIANS(330))-RADIANS(330)*COS(RADIANS(330)))</f>
        <v>-54.879482516441</v>
      </c>
      <c r="T30" s="17" t="n">
        <f aca="false">$C$6+$D$6*(SIN(RADIANS(340))-RADIANS(340)*COS(RADIANS(340)))</f>
        <v>-59.182684077246</v>
      </c>
      <c r="U30" s="17" t="n">
        <f aca="false">$C$6+$D$6*(SIN(RADIANS(350))-RADIANS(350)*COS(RADIANS(350)))</f>
        <v>-61.8949640389748</v>
      </c>
      <c r="V30" s="42" t="n">
        <f aca="false">$C$6+$D$6*(SIN(RADIANS(360))-RADIANS(360)*COS(RADIANS(360)))</f>
        <v>-62.8318530717959</v>
      </c>
    </row>
    <row r="32" customFormat="false" ht="12" hidden="false" customHeight="false" outlineLevel="0" collapsed="false">
      <c r="B32" s="23" t="s">
        <v>30</v>
      </c>
      <c r="C32" s="23"/>
      <c r="D32" s="41" t="s">
        <v>107</v>
      </c>
      <c r="E32" s="41" t="s">
        <v>108</v>
      </c>
      <c r="F32" s="23" t="s">
        <v>109</v>
      </c>
      <c r="G32" s="23" t="s">
        <v>110</v>
      </c>
      <c r="H32" s="23" t="s">
        <v>111</v>
      </c>
      <c r="I32" s="23" t="s">
        <v>112</v>
      </c>
      <c r="J32" s="41" t="s">
        <v>113</v>
      </c>
      <c r="K32" s="41" t="s">
        <v>114</v>
      </c>
      <c r="L32" s="41" t="s">
        <v>115</v>
      </c>
      <c r="M32" s="41" t="s">
        <v>116</v>
      </c>
      <c r="N32" s="41" t="s">
        <v>117</v>
      </c>
      <c r="O32" s="41" t="s">
        <v>118</v>
      </c>
      <c r="P32" s="41" t="s">
        <v>119</v>
      </c>
      <c r="Q32" s="41" t="s">
        <v>120</v>
      </c>
      <c r="R32" s="41" t="s">
        <v>121</v>
      </c>
      <c r="S32" s="41" t="s">
        <v>122</v>
      </c>
      <c r="T32" s="41" t="s">
        <v>123</v>
      </c>
      <c r="U32" s="41" t="s">
        <v>124</v>
      </c>
    </row>
    <row r="33" customFormat="false" ht="12" hidden="false" customHeight="false" outlineLevel="0" collapsed="false">
      <c r="B33" s="23" t="s">
        <v>48</v>
      </c>
      <c r="C33" s="23"/>
      <c r="D33" s="41" t="s">
        <v>125</v>
      </c>
      <c r="E33" s="23" t="s">
        <v>126</v>
      </c>
      <c r="F33" s="23" t="s">
        <v>127</v>
      </c>
      <c r="G33" s="23" t="s">
        <v>128</v>
      </c>
      <c r="H33" s="23" t="s">
        <v>129</v>
      </c>
      <c r="I33" s="23" t="s">
        <v>130</v>
      </c>
      <c r="J33" s="23" t="s">
        <v>131</v>
      </c>
      <c r="K33" s="41" t="s">
        <v>132</v>
      </c>
      <c r="L33" s="41" t="s">
        <v>133</v>
      </c>
      <c r="M33" s="41" t="s">
        <v>134</v>
      </c>
      <c r="N33" s="41" t="s">
        <v>135</v>
      </c>
      <c r="O33" s="41" t="s">
        <v>136</v>
      </c>
      <c r="P33" s="41" t="s">
        <v>137</v>
      </c>
      <c r="Q33" s="41" t="s">
        <v>138</v>
      </c>
      <c r="R33" s="41" t="s">
        <v>139</v>
      </c>
      <c r="S33" s="41" t="s">
        <v>140</v>
      </c>
      <c r="T33" s="41" t="s">
        <v>141</v>
      </c>
      <c r="U33" s="41" t="s">
        <v>142</v>
      </c>
    </row>
    <row r="34" customFormat="false" ht="12" hidden="false" customHeight="false" outlineLevel="0" collapsed="false">
      <c r="B34" s="23" t="s">
        <v>5</v>
      </c>
      <c r="C34" s="23"/>
      <c r="D34" s="17" t="n">
        <f aca="false">$B$6+$D$6*(COS(RADIANS(360))+RADIANS(360)*SIN(RADIANS(360)))</f>
        <v>9.99999999999998</v>
      </c>
      <c r="E34" s="17" t="n">
        <f aca="false">$B$6+$D$6*(COS(RADIANS(370))+RADIANS(370)*SIN(RADIANS(370)))</f>
        <v>21.0617875595133</v>
      </c>
      <c r="F34" s="17" t="n">
        <f aca="false">$B$6+$D$6*(COS(RADIANS(380))+RADIANS(380)*SIN(RADIANS(380)))</f>
        <v>32.0805611227272</v>
      </c>
      <c r="G34" s="17" t="n">
        <f aca="false">$B$6+$D$6*(COS(RADIANS(390))+RADIANS(390)*SIN(RADIANS(390)))</f>
        <v>42.6941744517338</v>
      </c>
      <c r="H34" s="17" t="n">
        <f aca="false">$B$6+$D$6*(COS(RADIANS(400))+RADIANS(400)*SIN(RADIANS(400)))</f>
        <v>52.535485151407</v>
      </c>
      <c r="I34" s="17" t="n">
        <f aca="false">$B$6+$D$6*(COS(RADIANS(410))+RADIANS(410)*SIN(RADIANS(410)))</f>
        <v>61.244866867899</v>
      </c>
      <c r="J34" s="17" t="n">
        <f aca="false">$B$6+$D$6*(COS(RADIANS(420))+RADIANS(420)*SIN(RADIANS(420)))</f>
        <v>68.4829777481976</v>
      </c>
      <c r="K34" s="17" t="n">
        <f aca="false">$B$6+$D$6*(COS(RADIANS(430))+RADIANS(430)*SIN(RADIANS(430)))</f>
        <v>73.9433412477137</v>
      </c>
      <c r="L34" s="17" t="n">
        <f aca="false">$B$6+$D$6*(COS(RADIANS(440))+RADIANS(440)*SIN(RADIANS(440)))</f>
        <v>77.3642880492819</v>
      </c>
      <c r="M34" s="17" t="n">
        <f aca="false">$B$6+$D$6*(COS(RADIANS(450))+RADIANS(450)*SIN(RADIANS(450)))</f>
        <v>78.5398163397448</v>
      </c>
      <c r="N34" s="17" t="n">
        <f aca="false">$B$6+$D$6*(COS(RADIANS(460))+RADIANS(460)*SIN(RADIANS(460)))</f>
        <v>77.3289520537893</v>
      </c>
      <c r="O34" s="17" t="n">
        <f aca="false">$B$6+$D$6*(COS(RADIANS(470))+RADIANS(470)*SIN(RADIANS(470)))</f>
        <v>73.6632304569638</v>
      </c>
      <c r="P34" s="17" t="n">
        <f aca="false">$B$6+$D$6*(COS(RADIANS(480))+RADIANS(480)*SIN(RADIANS(480)))</f>
        <v>67.5519745693688</v>
      </c>
      <c r="Q34" s="17" t="n">
        <f aca="false">$B$6+$D$6*(COS(RADIANS(490))+RADIANS(490)*SIN(RADIANS(490)))</f>
        <v>59.0851128733942</v>
      </c>
      <c r="R34" s="17" t="n">
        <f aca="false">$B$6+$D$6*(COS(RADIANS(500))+RADIANS(500)*SIN(RADIANS(500)))</f>
        <v>48.4333564690817</v>
      </c>
      <c r="S34" s="17" t="n">
        <f aca="false">$B$6+$D$6*(COS(RADIANS(510))+RADIANS(510)*SIN(RADIANS(510)))</f>
        <v>35.845641888011</v>
      </c>
      <c r="T34" s="17" t="n">
        <f aca="false">$B$6+$D$6*(COS(RADIANS(520))+RADIANS(520)*SIN(RADIANS(520)))</f>
        <v>21.6438373598552</v>
      </c>
      <c r="U34" s="17" t="n">
        <f aca="false">$B$6+$D$6*(COS(RADIANS(530))+RADIANS(530)*SIN(RADIANS(530)))</f>
        <v>6.21480440387084</v>
      </c>
      <c r="V34" s="42" t="n">
        <f aca="false">$B$6+$D$6*(COS(RADIANS(540))+RADIANS(540)*SIN(RADIANS(540)))</f>
        <v>-9.99999999999997</v>
      </c>
    </row>
    <row r="35" customFormat="false" ht="12" hidden="false" customHeight="false" outlineLevel="0" collapsed="false">
      <c r="B35" s="23" t="s">
        <v>6</v>
      </c>
      <c r="C35" s="23"/>
      <c r="D35" s="17" t="n">
        <f aca="false">$C$6+$D$6*(SIN(RADIANS(360))-RADIANS(360)*COS(RADIANS(360)))</f>
        <v>-62.8318530717959</v>
      </c>
      <c r="E35" s="17" t="n">
        <f aca="false">$C$6+$D$6*(SIN(RADIANS(370))-RADIANS(370)*COS(RADIANS(370)))</f>
        <v>-61.8596280434822</v>
      </c>
      <c r="F35" s="17" t="n">
        <f aca="false">$C$6+$D$6*(SIN(RADIANS(380))-RADIANS(380)*COS(RADIANS(380)))</f>
        <v>-58.902573286496</v>
      </c>
      <c r="G35" s="17" t="n">
        <f aca="false">$C$6+$D$6*(SIN(RADIANS(390))-RADIANS(390)*COS(RADIANS(390)))</f>
        <v>-53.9484793376121</v>
      </c>
      <c r="H35" s="17" t="n">
        <f aca="false">$C$6+$D$6*(SIN(RADIANS(400))-RADIANS(400)*COS(RADIANS(400)))</f>
        <v>-47.052114899265</v>
      </c>
      <c r="I35" s="17" t="n">
        <f aca="false">$C$6+$D$6*(SIN(RADIANS(410))-RADIANS(410)*COS(RADIANS(410)))</f>
        <v>-38.3364723070329</v>
      </c>
      <c r="J35" s="17" t="n">
        <f aca="false">$C$6+$D$6*(SIN(RADIANS(420))-RADIANS(420)*COS(RADIANS(420)))</f>
        <v>-27.9916602540365</v>
      </c>
      <c r="K35" s="17" t="n">
        <f aca="false">$C$6+$D$6*(SIN(RADIANS(430))-RADIANS(430)*COS(RADIANS(430)))</f>
        <v>-16.271397511597</v>
      </c>
      <c r="L35" s="17" t="n">
        <f aca="false">$C$6+$D$6*(SIN(RADIANS(440))-RADIANS(440)*COS(RADIANS(440)))</f>
        <v>-3.48714520753242</v>
      </c>
      <c r="M35" s="17" t="n">
        <f aca="false">$C$6+$D$6*(SIN(RADIANS(450))-RADIANS(450)*COS(RADIANS(450)))</f>
        <v>9.99999999999998</v>
      </c>
      <c r="N35" s="17" t="n">
        <f aca="false">$C$6+$D$6*(SIN(RADIANS(460))-RADIANS(460)*COS(RADIANS(460)))</f>
        <v>23.7894467558517</v>
      </c>
      <c r="O35" s="17" t="n">
        <f aca="false">$C$6+$D$6*(SIN(RADIANS(470))-RADIANS(470)*COS(RADIANS(470)))</f>
        <v>37.4530009709854</v>
      </c>
      <c r="P35" s="17" t="n">
        <f aca="false">$C$6+$D$6*(SIN(RADIANS(480))-RADIANS(480)*COS(RADIANS(480)))</f>
        <v>50.5481560857082</v>
      </c>
      <c r="Q35" s="17" t="n">
        <f aca="false">$C$6+$D$6*(SIN(RADIANS(490))-RADIANS(490)*COS(RADIANS(490)))</f>
        <v>62.6323693134559</v>
      </c>
      <c r="R35" s="17" t="n">
        <f aca="false">$C$6+$D$6*(SIN(RADIANS(500))-RADIANS(500)*COS(RADIANS(500)))</f>
        <v>73.2778648420284</v>
      </c>
      <c r="S35" s="17" t="n">
        <f aca="false">$C$6+$D$6*(SIN(RADIANS(510))-RADIANS(510)*COS(RADIANS(510)))</f>
        <v>82.0864729799543</v>
      </c>
      <c r="T35" s="17" t="n">
        <f aca="false">$C$6+$D$6*(SIN(RADIANS(520))-RADIANS(520)*COS(RADIANS(520)))</f>
        <v>88.7039984181815</v>
      </c>
      <c r="U35" s="17" t="n">
        <f aca="false">$C$6+$D$6*(SIN(RADIANS(530))-RADIANS(530)*COS(RADIANS(530)))</f>
        <v>92.833612059589</v>
      </c>
      <c r="V35" s="42" t="n">
        <f aca="false">$C$6+$D$6*(SIN(RADIANS(540))-RADIANS(540)*COS(RADIANS(540)))</f>
        <v>94.2477796076938</v>
      </c>
    </row>
    <row r="37" customFormat="false" ht="12" hidden="false" customHeight="false" outlineLevel="0" collapsed="false">
      <c r="B37" s="23" t="s">
        <v>30</v>
      </c>
      <c r="C37" s="23"/>
      <c r="D37" s="41" t="s">
        <v>143</v>
      </c>
      <c r="E37" s="41" t="s">
        <v>144</v>
      </c>
      <c r="F37" s="41" t="s">
        <v>145</v>
      </c>
      <c r="G37" s="41" t="s">
        <v>146</v>
      </c>
      <c r="H37" s="41" t="s">
        <v>147</v>
      </c>
      <c r="I37" s="41" t="s">
        <v>148</v>
      </c>
      <c r="J37" s="41" t="s">
        <v>149</v>
      </c>
      <c r="K37" s="41" t="s">
        <v>150</v>
      </c>
      <c r="L37" s="41" t="s">
        <v>151</v>
      </c>
      <c r="M37" s="41" t="s">
        <v>152</v>
      </c>
      <c r="N37" s="41" t="s">
        <v>153</v>
      </c>
      <c r="O37" s="41" t="s">
        <v>154</v>
      </c>
      <c r="P37" s="41" t="s">
        <v>155</v>
      </c>
      <c r="Q37" s="41" t="s">
        <v>156</v>
      </c>
      <c r="R37" s="41" t="s">
        <v>157</v>
      </c>
      <c r="S37" s="41" t="s">
        <v>158</v>
      </c>
      <c r="T37" s="41" t="s">
        <v>159</v>
      </c>
      <c r="U37" s="41" t="s">
        <v>160</v>
      </c>
    </row>
    <row r="38" customFormat="false" ht="12" hidden="false" customHeight="false" outlineLevel="0" collapsed="false">
      <c r="B38" s="23" t="s">
        <v>48</v>
      </c>
      <c r="C38" s="23"/>
      <c r="D38" s="41" t="s">
        <v>161</v>
      </c>
      <c r="E38" s="41" t="s">
        <v>162</v>
      </c>
      <c r="F38" s="41" t="s">
        <v>163</v>
      </c>
      <c r="G38" s="41" t="s">
        <v>164</v>
      </c>
      <c r="H38" s="41" t="s">
        <v>165</v>
      </c>
      <c r="I38" s="41" t="s">
        <v>166</v>
      </c>
      <c r="J38" s="41" t="s">
        <v>167</v>
      </c>
      <c r="K38" s="41" t="s">
        <v>168</v>
      </c>
      <c r="L38" s="41" t="s">
        <v>169</v>
      </c>
      <c r="M38" s="41" t="s">
        <v>170</v>
      </c>
      <c r="N38" s="41" t="s">
        <v>171</v>
      </c>
      <c r="O38" s="41" t="s">
        <v>172</v>
      </c>
      <c r="P38" s="41" t="s">
        <v>173</v>
      </c>
      <c r="Q38" s="41" t="s">
        <v>174</v>
      </c>
      <c r="R38" s="41" t="s">
        <v>175</v>
      </c>
      <c r="S38" s="41" t="s">
        <v>176</v>
      </c>
      <c r="T38" s="41" t="s">
        <v>177</v>
      </c>
      <c r="U38" s="41" t="s">
        <v>178</v>
      </c>
    </row>
    <row r="39" customFormat="false" ht="12" hidden="false" customHeight="false" outlineLevel="0" collapsed="false">
      <c r="B39" s="23" t="s">
        <v>5</v>
      </c>
      <c r="C39" s="23"/>
      <c r="D39" s="17" t="n">
        <f aca="false">$B$6+$D$6*(COS(RADIANS(540))+RADIANS(540)*SIN(RADIANS(540)))</f>
        <v>-9.99999999999997</v>
      </c>
      <c r="E39" s="17" t="n">
        <f aca="false">$B$6+$D$6*(COS(RADIANS(550))+RADIANS(550)*SIN(RADIANS(550)))</f>
        <v>-26.5171059521901</v>
      </c>
      <c r="F39" s="17" t="n">
        <f aca="false">$B$6+$D$6*(COS(RADIANS(560))+RADIANS(560)*SIN(RADIANS(560)))</f>
        <v>-42.8254408192437</v>
      </c>
      <c r="G39" s="17" t="n">
        <f aca="false">$B$6+$D$6*(COS(RADIANS(570))+RADIANS(570)*SIN(RADIANS(570)))</f>
        <v>-58.4021377196827</v>
      </c>
      <c r="H39" s="17" t="n">
        <f aca="false">$B$6+$D$6*(COS(RADIANS(580))+RADIANS(580)*SIN(RADIANS(580)))</f>
        <v>-72.7292534755048</v>
      </c>
      <c r="I39" s="17" t="n">
        <f aca="false">$B$6+$D$6*(COS(RADIANS(590))+RADIANS(590)*SIN(RADIANS(590)))</f>
        <v>-85.3108628161577</v>
      </c>
      <c r="J39" s="17" t="n">
        <f aca="false">$B$6+$D$6*(COS(RADIANS(600))+RADIANS(600)*SIN(RADIANS(600)))</f>
        <v>-95.6899682117109</v>
      </c>
      <c r="K39" s="17" t="n">
        <f aca="false">$B$6+$D$6*(COS(RADIANS(610))+RADIANS(610)*SIN(RADIANS(610)))</f>
        <v>-103.464655588649</v>
      </c>
      <c r="L39" s="17" t="n">
        <f aca="false">$B$6+$D$6*(COS(RADIANS(620))+RADIANS(620)*SIN(RADIANS(620)))</f>
        <v>-108.302936069896</v>
      </c>
      <c r="M39" s="17" t="n">
        <f aca="false">$B$6+$D$6*(COS(RADIANS(630))+RADIANS(630)*SIN(RADIANS(630)))</f>
        <v>-109.955742875643</v>
      </c>
      <c r="N39" s="17" t="n">
        <f aca="false">$B$6+$D$6*(COS(RADIANS(640))+RADIANS(640)*SIN(RADIANS(640)))</f>
        <v>-108.267600074404</v>
      </c>
      <c r="O39" s="17" t="n">
        <f aca="false">$B$6+$D$6*(COS(RADIANS(650))+RADIANS(650)*SIN(RADIANS(650)))</f>
        <v>-103.184544797899</v>
      </c>
      <c r="P39" s="17" t="n">
        <f aca="false">$B$6+$D$6*(COS(RADIANS(660))+RADIANS(660)*SIN(RADIANS(660)))</f>
        <v>-94.758965032882</v>
      </c>
      <c r="Q39" s="17" t="n">
        <f aca="false">$B$6+$D$6*(COS(RADIANS(670))+RADIANS(670)*SIN(RADIANS(670)))</f>
        <v>-83.1511088216529</v>
      </c>
      <c r="R39" s="17" t="n">
        <f aca="false">$B$6+$D$6*(COS(RADIANS(680))+RADIANS(680)*SIN(RADIANS(680)))</f>
        <v>-68.6271247931795</v>
      </c>
      <c r="S39" s="17" t="n">
        <f aca="false">$B$6+$D$6*(COS(RADIANS(690))+RADIANS(690)*SIN(RADIANS(690)))</f>
        <v>-51.55360515596</v>
      </c>
      <c r="T39" s="17" t="n">
        <f aca="false">$B$6+$D$6*(COS(RADIANS(700))+RADIANS(700)*SIN(RADIANS(700)))</f>
        <v>-32.3887170563717</v>
      </c>
      <c r="U39" s="17" t="n">
        <f aca="false">$B$6+$D$6*(COS(RADIANS(710))+RADIANS(710)*SIN(RADIANS(710)))</f>
        <v>-11.6701227965477</v>
      </c>
      <c r="V39" s="42" t="n">
        <f aca="false">$B$6+$D$6*(COS(RADIANS(720))+RADIANS(720)*SIN(RADIANS(720)))</f>
        <v>9.99999999999994</v>
      </c>
    </row>
    <row r="40" customFormat="false" ht="12" hidden="false" customHeight="false" outlineLevel="0" collapsed="false">
      <c r="B40" s="23" t="s">
        <v>6</v>
      </c>
      <c r="C40" s="23"/>
      <c r="D40" s="17" t="n">
        <f aca="false">$C$6+$D$6*(SIN(RADIANS(540))-RADIANS(540)*COS(RADIANS(540)))</f>
        <v>94.2477796076938</v>
      </c>
      <c r="E40" s="17" t="n">
        <f aca="false">$C$6+$D$6*(SIN(RADIANS(550))-RADIANS(550)*COS(RADIANS(550)))</f>
        <v>92.7982760640965</v>
      </c>
      <c r="F40" s="17" t="n">
        <f aca="false">$C$6+$D$6*(SIN(RADIANS(560))-RADIANS(560)*COS(RADIANS(560)))</f>
        <v>88.4238876274315</v>
      </c>
      <c r="G40" s="17" t="n">
        <f aca="false">$C$6+$D$6*(SIN(RADIANS(570))-RADIANS(570)*COS(RADIANS(570)))</f>
        <v>81.1554698011254</v>
      </c>
      <c r="H40" s="17" t="n">
        <f aca="false">$C$6+$D$6*(SIN(RADIANS(580))-RADIANS(580)*COS(RADIANS(580)))</f>
        <v>71.1181108475236</v>
      </c>
      <c r="I40" s="17" t="n">
        <f aca="false">$C$6+$D$6*(SIN(RADIANS(590))-RADIANS(590)*COS(RADIANS(590)))</f>
        <v>58.5302406311306</v>
      </c>
      <c r="J40" s="17" t="n">
        <f aca="false">$C$6+$D$6*(SIN(RADIANS(600))-RADIANS(600)*COS(RADIANS(600)))</f>
        <v>43.6996235219855</v>
      </c>
      <c r="K40" s="17" t="n">
        <f aca="false">$C$6+$D$6*(SIN(RADIANS(610))-RADIANS(610)*COS(RADIANS(610)))</f>
        <v>27.0162772081135</v>
      </c>
      <c r="L40" s="17" t="n">
        <f aca="false">$C$6+$D$6*(SIN(RADIANS(620))-RADIANS(620)*COS(RADIANS(620)))</f>
        <v>8.94246360020927</v>
      </c>
      <c r="M40" s="17" t="n">
        <f aca="false">$C$6+$D$6*(SIN(RADIANS(630))-RADIANS(630)*COS(RADIANS(630)))</f>
        <v>-9.99999999999995</v>
      </c>
      <c r="N40" s="17" t="n">
        <f aca="false">$C$6+$D$6*(SIN(RADIANS(640))-RADIANS(640)*COS(RADIANS(640)))</f>
        <v>-29.2447651485285</v>
      </c>
      <c r="O40" s="17" t="n">
        <f aca="false">$C$6+$D$6*(SIN(RADIANS(650))-RADIANS(650)*COS(RADIANS(650)))</f>
        <v>-48.1978806675019</v>
      </c>
      <c r="P40" s="17" t="n">
        <f aca="false">$C$6+$D$6*(SIN(RADIANS(660))-RADIANS(660)*COS(RADIANS(660)))</f>
        <v>-66.2561193536572</v>
      </c>
      <c r="Q40" s="17" t="n">
        <f aca="false">$C$6+$D$6*(SIN(RADIANS(670))-RADIANS(670)*COS(RADIANS(670)))</f>
        <v>-82.8261376375537</v>
      </c>
      <c r="R40" s="17" t="n">
        <f aca="false">$C$6+$D$6*(SIN(RADIANS(680))-RADIANS(680)*COS(RADIANS(680)))</f>
        <v>-97.343860790287</v>
      </c>
      <c r="S40" s="17" t="n">
        <f aca="false">$C$6+$D$6*(SIN(RADIANS(690))-RADIANS(690)*COS(RADIANS(690)))</f>
        <v>-109.293463443468</v>
      </c>
      <c r="T40" s="17" t="n">
        <f aca="false">$C$6+$D$6*(SIN(RADIANS(700))-RADIANS(700)*COS(RADIANS(700)))</f>
        <v>-118.225312759117</v>
      </c>
      <c r="U40" s="17" t="n">
        <f aca="false">$C$6+$D$6*(SIN(RADIANS(710))-RADIANS(710)*COS(RADIANS(710)))</f>
        <v>-123.772260080203</v>
      </c>
      <c r="V40" s="42" t="n">
        <f aca="false">$C$6+$D$6*(SIN(RADIANS(720))-RADIANS(720)*COS(RADIANS(720)))</f>
        <v>-125.663706143592</v>
      </c>
    </row>
    <row r="42" customFormat="false" ht="12" hidden="false" customHeight="false" outlineLevel="0" collapsed="false">
      <c r="B42" s="8" t="s">
        <v>30</v>
      </c>
      <c r="C42" s="8"/>
      <c r="D42" s="44" t="n">
        <v>0</v>
      </c>
      <c r="E42" s="44" t="s">
        <v>31</v>
      </c>
      <c r="F42" s="8" t="s">
        <v>32</v>
      </c>
      <c r="G42" s="8" t="s">
        <v>33</v>
      </c>
      <c r="H42" s="8" t="s">
        <v>34</v>
      </c>
      <c r="I42" s="8" t="s">
        <v>35</v>
      </c>
      <c r="J42" s="44" t="s">
        <v>36</v>
      </c>
      <c r="K42" s="44" t="s">
        <v>37</v>
      </c>
      <c r="L42" s="44" t="s">
        <v>38</v>
      </c>
      <c r="M42" s="44" t="s">
        <v>39</v>
      </c>
      <c r="N42" s="44" t="s">
        <v>40</v>
      </c>
      <c r="O42" s="44" t="s">
        <v>41</v>
      </c>
      <c r="P42" s="44" t="s">
        <v>42</v>
      </c>
      <c r="Q42" s="44" t="s">
        <v>43</v>
      </c>
      <c r="R42" s="44" t="s">
        <v>44</v>
      </c>
      <c r="S42" s="44" t="s">
        <v>45</v>
      </c>
      <c r="T42" s="44" t="s">
        <v>46</v>
      </c>
      <c r="U42" s="44" t="s">
        <v>47</v>
      </c>
    </row>
    <row r="43" customFormat="false" ht="12" hidden="false" customHeight="false" outlineLevel="0" collapsed="false">
      <c r="B43" s="8" t="s">
        <v>48</v>
      </c>
      <c r="C43" s="8"/>
      <c r="D43" s="44" t="s">
        <v>49</v>
      </c>
      <c r="E43" s="8" t="s">
        <v>50</v>
      </c>
      <c r="F43" s="8" t="s">
        <v>51</v>
      </c>
      <c r="G43" s="8" t="s">
        <v>52</v>
      </c>
      <c r="H43" s="8" t="s">
        <v>53</v>
      </c>
      <c r="I43" s="8" t="s">
        <v>54</v>
      </c>
      <c r="J43" s="8" t="s">
        <v>55</v>
      </c>
      <c r="K43" s="44" t="s">
        <v>56</v>
      </c>
      <c r="L43" s="44" t="s">
        <v>57</v>
      </c>
      <c r="M43" s="44" t="s">
        <v>58</v>
      </c>
      <c r="N43" s="44" t="s">
        <v>59</v>
      </c>
      <c r="O43" s="44" t="s">
        <v>60</v>
      </c>
      <c r="P43" s="44" t="s">
        <v>61</v>
      </c>
      <c r="Q43" s="44" t="s">
        <v>62</v>
      </c>
      <c r="R43" s="44" t="s">
        <v>63</v>
      </c>
      <c r="S43" s="44" t="s">
        <v>64</v>
      </c>
      <c r="T43" s="44" t="s">
        <v>65</v>
      </c>
      <c r="U43" s="44" t="s">
        <v>66</v>
      </c>
    </row>
    <row r="44" customFormat="false" ht="12" hidden="false" customHeight="false" outlineLevel="0" collapsed="false">
      <c r="B44" s="8" t="s">
        <v>5</v>
      </c>
      <c r="C44" s="8"/>
      <c r="D44" s="30" t="n">
        <f aca="false">$B$6+$D$6*(COS(RADIANS(0)))</f>
        <v>10</v>
      </c>
      <c r="E44" s="30" t="n">
        <f aca="false">$B$6+$D$6*(COS(RADIANS(10)))</f>
        <v>9.84807753012208</v>
      </c>
      <c r="F44" s="30" t="n">
        <f aca="false">$B$6+$D$6*(COS(RADIANS(20)))</f>
        <v>9.39692620785909</v>
      </c>
      <c r="G44" s="30" t="n">
        <f aca="false">$B$6+$D$6*(COS(RADIANS(30)))</f>
        <v>8.66025403784439</v>
      </c>
      <c r="H44" s="30" t="n">
        <f aca="false">$B$6+$D$6*(COS(RADIANS(40)))</f>
        <v>7.66044443118978</v>
      </c>
      <c r="I44" s="30" t="n">
        <f aca="false">$B$6+$D$6*(COS(RADIANS(50)))</f>
        <v>6.42787609686539</v>
      </c>
      <c r="J44" s="30" t="n">
        <f aca="false">$B$6+$D$6*(COS(RADIANS(60)))</f>
        <v>5</v>
      </c>
      <c r="K44" s="30" t="n">
        <f aca="false">$B$6+$D$6*(COS(RADIANS(70)))</f>
        <v>3.42020143325669</v>
      </c>
      <c r="L44" s="30" t="n">
        <f aca="false">$B$6+$D$6*(COS(RADIANS(80)))</f>
        <v>1.7364817766693</v>
      </c>
      <c r="M44" s="30" t="n">
        <f aca="false">$B$6+$D$6*(COS(RADIANS(90)))</f>
        <v>6.12323399573677E-016</v>
      </c>
      <c r="N44" s="30" t="n">
        <f aca="false">$B$6+$D$6*(COS(RADIANS(100)))</f>
        <v>-1.7364817766693</v>
      </c>
      <c r="O44" s="30" t="n">
        <f aca="false">$B$6+$D$6*(COS(RADIANS(110)))</f>
        <v>-3.42020143325669</v>
      </c>
      <c r="P44" s="30" t="n">
        <f aca="false">$B$6+$D$6*(COS(RADIANS(120)))</f>
        <v>-5</v>
      </c>
      <c r="Q44" s="30" t="n">
        <f aca="false">$B$6+$D$6*(COS(RADIANS(130)))</f>
        <v>-6.42787609686539</v>
      </c>
      <c r="R44" s="30" t="n">
        <f aca="false">$B$6+$D$6*(COS(RADIANS(140)))</f>
        <v>-7.66044443118978</v>
      </c>
      <c r="S44" s="30" t="n">
        <f aca="false">$B$6+$D$6*(COS(RADIANS(150)))</f>
        <v>-8.66025403784439</v>
      </c>
      <c r="T44" s="30" t="n">
        <f aca="false">$B$6+$D$6*(COS(RADIANS(160)))</f>
        <v>-9.39692620785908</v>
      </c>
      <c r="U44" s="30" t="n">
        <f aca="false">$B$6+$D$6*(COS(RADIANS(170)))</f>
        <v>-9.84807753012208</v>
      </c>
      <c r="V44" s="42" t="n">
        <f aca="false">$B$6+$D$6*(COS(RADIANS(180)))</f>
        <v>-10</v>
      </c>
    </row>
    <row r="45" customFormat="false" ht="12" hidden="false" customHeight="false" outlineLevel="0" collapsed="false">
      <c r="B45" s="8" t="s">
        <v>6</v>
      </c>
      <c r="C45" s="8"/>
      <c r="D45" s="30" t="n">
        <f aca="false">$C$6+$D$6*(SIN(RADIANS(0)))</f>
        <v>0</v>
      </c>
      <c r="E45" s="30" t="n">
        <f aca="false">$C$6+$D$6*(SIN(RADIANS(10)))</f>
        <v>1.7364817766693</v>
      </c>
      <c r="F45" s="30" t="n">
        <f aca="false">$C$6+$D$6*(SIN(RADIANS(20)))</f>
        <v>3.42020143325669</v>
      </c>
      <c r="G45" s="30" t="n">
        <f aca="false">$C$6+$D$6*(SIN(RADIANS(30)))</f>
        <v>5</v>
      </c>
      <c r="H45" s="30" t="n">
        <f aca="false">$C$6+$D$6*(SIN(RADIANS(40)))</f>
        <v>6.42787609686539</v>
      </c>
      <c r="I45" s="30" t="n">
        <f aca="false">$C$6+$D$6*(SIN(RADIANS(50)))</f>
        <v>7.66044443118978</v>
      </c>
      <c r="J45" s="30" t="n">
        <f aca="false">$C$6+$D$6*(SIN(RADIANS(60)))</f>
        <v>8.66025403784439</v>
      </c>
      <c r="K45" s="30" t="n">
        <f aca="false">$C$6+$D$6*(SIN(RADIANS(70)))</f>
        <v>9.39692620785908</v>
      </c>
      <c r="L45" s="30" t="n">
        <f aca="false">$C$6+$D$6*(SIN(RADIANS(80)))</f>
        <v>9.84807753012208</v>
      </c>
      <c r="M45" s="30" t="n">
        <f aca="false">$C$6+$D$6*(SIN(RADIANS(90)))</f>
        <v>10</v>
      </c>
      <c r="N45" s="30" t="n">
        <f aca="false">$C$6+$D$6*(SIN(RADIANS(100)))</f>
        <v>9.84807753012208</v>
      </c>
      <c r="O45" s="30" t="n">
        <f aca="false">$C$6+$D$6*(SIN(RADIANS(110)))</f>
        <v>9.39692620785909</v>
      </c>
      <c r="P45" s="30" t="n">
        <f aca="false">$C$6+$D$6*(SIN(RADIANS(120)))</f>
        <v>8.66025403784439</v>
      </c>
      <c r="Q45" s="30" t="n">
        <f aca="false">$C$6+$D$6*(SIN(RADIANS(130)))</f>
        <v>7.66044443118978</v>
      </c>
      <c r="R45" s="30" t="n">
        <f aca="false">$C$6+$D$6*(SIN(RADIANS(140)))</f>
        <v>6.4278760968654</v>
      </c>
      <c r="S45" s="30" t="n">
        <f aca="false">$C$6+$D$6*(SIN(RADIANS(150)))</f>
        <v>5</v>
      </c>
      <c r="T45" s="30" t="n">
        <f aca="false">$C$6+$D$6*(SIN(RADIANS(160)))</f>
        <v>3.42020143325669</v>
      </c>
      <c r="U45" s="30" t="n">
        <f aca="false">$C$6+$D$6*(SIN(RADIANS(170)))</f>
        <v>1.7364817766693</v>
      </c>
      <c r="V45" s="42" t="n">
        <f aca="false">$C$6+$D$6*(SIN(RADIANS(180)))</f>
        <v>1.22464679914735E-015</v>
      </c>
    </row>
    <row r="47" customFormat="false" ht="12" hidden="false" customHeight="false" outlineLevel="0" collapsed="false">
      <c r="B47" s="8" t="s">
        <v>30</v>
      </c>
      <c r="C47" s="8"/>
      <c r="D47" s="44" t="s">
        <v>67</v>
      </c>
      <c r="E47" s="44" t="s">
        <v>68</v>
      </c>
      <c r="F47" s="44" t="s">
        <v>69</v>
      </c>
      <c r="G47" s="44" t="s">
        <v>70</v>
      </c>
      <c r="H47" s="44" t="s">
        <v>71</v>
      </c>
      <c r="I47" s="44" t="s">
        <v>72</v>
      </c>
      <c r="J47" s="44" t="s">
        <v>73</v>
      </c>
      <c r="K47" s="44" t="s">
        <v>74</v>
      </c>
      <c r="L47" s="44" t="s">
        <v>75</v>
      </c>
      <c r="M47" s="44" t="s">
        <v>76</v>
      </c>
      <c r="N47" s="44" t="s">
        <v>77</v>
      </c>
      <c r="O47" s="44" t="s">
        <v>78</v>
      </c>
      <c r="P47" s="44" t="s">
        <v>79</v>
      </c>
      <c r="Q47" s="44" t="s">
        <v>80</v>
      </c>
      <c r="R47" s="44" t="s">
        <v>81</v>
      </c>
      <c r="S47" s="44" t="s">
        <v>82</v>
      </c>
      <c r="T47" s="44" t="s">
        <v>83</v>
      </c>
      <c r="U47" s="44" t="s">
        <v>84</v>
      </c>
    </row>
    <row r="48" customFormat="false" ht="12" hidden="false" customHeight="false" outlineLevel="0" collapsed="false">
      <c r="B48" s="8" t="s">
        <v>48</v>
      </c>
      <c r="C48" s="8"/>
      <c r="D48" s="44" t="s">
        <v>85</v>
      </c>
      <c r="E48" s="44" t="s">
        <v>86</v>
      </c>
      <c r="F48" s="44" t="s">
        <v>87</v>
      </c>
      <c r="G48" s="44" t="s">
        <v>88</v>
      </c>
      <c r="H48" s="44" t="s">
        <v>89</v>
      </c>
      <c r="I48" s="44" t="s">
        <v>90</v>
      </c>
      <c r="J48" s="44" t="s">
        <v>91</v>
      </c>
      <c r="K48" s="44" t="s">
        <v>92</v>
      </c>
      <c r="L48" s="44" t="s">
        <v>93</v>
      </c>
      <c r="M48" s="44" t="s">
        <v>94</v>
      </c>
      <c r="N48" s="44" t="s">
        <v>95</v>
      </c>
      <c r="O48" s="44" t="s">
        <v>96</v>
      </c>
      <c r="P48" s="44" t="s">
        <v>97</v>
      </c>
      <c r="Q48" s="44" t="s">
        <v>98</v>
      </c>
      <c r="R48" s="44" t="s">
        <v>99</v>
      </c>
      <c r="S48" s="44" t="s">
        <v>100</v>
      </c>
      <c r="T48" s="44" t="s">
        <v>101</v>
      </c>
      <c r="U48" s="44" t="s">
        <v>102</v>
      </c>
    </row>
    <row r="49" customFormat="false" ht="12" hidden="false" customHeight="false" outlineLevel="0" collapsed="false">
      <c r="B49" s="8" t="s">
        <v>5</v>
      </c>
      <c r="C49" s="8"/>
      <c r="D49" s="30" t="n">
        <f aca="false">$B$6+$D$6*(COS(RADIANS(180)))</f>
        <v>-10</v>
      </c>
      <c r="E49" s="30" t="n">
        <f aca="false">$B$6+$D$6*(COS(RADIANS(190)))</f>
        <v>-9.84807753012208</v>
      </c>
      <c r="F49" s="30" t="n">
        <f aca="false">$B$6+$D$6*(COS(RADIANS(200)))</f>
        <v>-9.39692620785909</v>
      </c>
      <c r="G49" s="30" t="n">
        <f aca="false">$B$6+$D$6*(COS(RADIANS(210)))</f>
        <v>-8.66025403784439</v>
      </c>
      <c r="H49" s="30" t="n">
        <f aca="false">$B$6+$D$6*(COS(RADIANS(220)))</f>
        <v>-7.66044443118978</v>
      </c>
      <c r="I49" s="30" t="n">
        <f aca="false">$B$6+$D$6*(COS(RADIANS(230)))</f>
        <v>-6.4278760968654</v>
      </c>
      <c r="J49" s="30" t="n">
        <f aca="false">$B$6+$D$6*(COS(RADIANS(240)))</f>
        <v>-5</v>
      </c>
      <c r="K49" s="30" t="n">
        <f aca="false">$B$6+$D$6*(COS(RADIANS(250)))</f>
        <v>-3.42020143325669</v>
      </c>
      <c r="L49" s="30" t="n">
        <f aca="false">$B$6+$D$6*(COS(RADIANS(260)))</f>
        <v>-1.7364817766693</v>
      </c>
      <c r="M49" s="30" t="n">
        <f aca="false">$B$6+$D$6*(COS(RADIANS(270)))</f>
        <v>-1.83697019872103E-015</v>
      </c>
      <c r="N49" s="30" t="n">
        <f aca="false">$B$6+$D$6*(COS(RADIANS(280)))</f>
        <v>1.7364817766693</v>
      </c>
      <c r="O49" s="30" t="n">
        <f aca="false">$B$6+$D$6*(COS(RADIANS(290)))</f>
        <v>3.42020143325669</v>
      </c>
      <c r="P49" s="30" t="n">
        <f aca="false">$B$6+$D$6*(COS(RADIANS(300)))</f>
        <v>5</v>
      </c>
      <c r="Q49" s="30" t="n">
        <f aca="false">$B$6+$D$6*(COS(RADIANS(310)))</f>
        <v>6.42787609686539</v>
      </c>
      <c r="R49" s="30" t="n">
        <f aca="false">$B$6+$D$6*(COS(RADIANS(320)))</f>
        <v>7.66044443118978</v>
      </c>
      <c r="S49" s="30" t="n">
        <f aca="false">$B$6+$D$6*(COS(RADIANS(330)))</f>
        <v>8.66025403784438</v>
      </c>
      <c r="T49" s="30" t="n">
        <f aca="false">$B$6+$D$6*(COS(RADIANS(340)))</f>
        <v>9.39692620785909</v>
      </c>
      <c r="U49" s="30" t="n">
        <f aca="false">$B$6+$D$6*(COS(RADIANS(350)))</f>
        <v>9.84807753012208</v>
      </c>
      <c r="V49" s="42" t="n">
        <f aca="false">$B$6+$D$6*(COS(RADIANS(360)))</f>
        <v>10</v>
      </c>
    </row>
    <row r="50" customFormat="false" ht="12" hidden="false" customHeight="false" outlineLevel="0" collapsed="false">
      <c r="B50" s="8" t="s">
        <v>6</v>
      </c>
      <c r="C50" s="8"/>
      <c r="D50" s="30" t="n">
        <f aca="false">$C$6+$D$6*(SIN(RADIANS(180)))</f>
        <v>1.22464679914735E-015</v>
      </c>
      <c r="E50" s="30" t="n">
        <f aca="false">$C$6+$D$6*(SIN(RADIANS(190)))</f>
        <v>-1.7364817766693</v>
      </c>
      <c r="F50" s="30" t="n">
        <f aca="false">$C$6+$D$6*(SIN(RADIANS(200)))</f>
        <v>-3.42020143325669</v>
      </c>
      <c r="G50" s="30" t="n">
        <f aca="false">$C$6+$D$6*(SIN(RADIANS(210)))</f>
        <v>-5</v>
      </c>
      <c r="H50" s="30" t="n">
        <f aca="false">$C$6+$D$6*(SIN(RADIANS(220)))</f>
        <v>-6.42787609686539</v>
      </c>
      <c r="I50" s="30" t="n">
        <f aca="false">$C$6+$D$6*(SIN(RADIANS(230)))</f>
        <v>-7.66044443118978</v>
      </c>
      <c r="J50" s="30" t="n">
        <f aca="false">$C$6+$D$6*(SIN(RADIANS(240)))</f>
        <v>-8.66025403784438</v>
      </c>
      <c r="K50" s="30" t="n">
        <f aca="false">$C$6+$D$6*(SIN(RADIANS(250)))</f>
        <v>-9.39692620785909</v>
      </c>
      <c r="L50" s="30" t="n">
        <f aca="false">$C$6+$D$6*(SIN(RADIANS(260)))</f>
        <v>-9.84807753012208</v>
      </c>
      <c r="M50" s="30" t="n">
        <f aca="false">$C$6+$D$6*(SIN(RADIANS(270)))</f>
        <v>-10</v>
      </c>
      <c r="N50" s="30" t="n">
        <f aca="false">$C$6+$D$6*(SIN(RADIANS(280)))</f>
        <v>-9.84807753012208</v>
      </c>
      <c r="O50" s="30" t="n">
        <f aca="false">$C$6+$D$6*(SIN(RADIANS(290)))</f>
        <v>-9.39692620785908</v>
      </c>
      <c r="P50" s="30" t="n">
        <f aca="false">$C$6+$D$6*(SIN(RADIANS(300)))</f>
        <v>-8.66025403784439</v>
      </c>
      <c r="Q50" s="30" t="n">
        <f aca="false">$C$6+$D$6*(SIN(RADIANS(310)))</f>
        <v>-7.66044443118978</v>
      </c>
      <c r="R50" s="30" t="n">
        <f aca="false">$C$6+$D$6*(SIN(RADIANS(320)))</f>
        <v>-6.4278760968654</v>
      </c>
      <c r="S50" s="30" t="n">
        <f aca="false">$C$6+$D$6*(SIN(RADIANS(330)))</f>
        <v>-5</v>
      </c>
      <c r="T50" s="30" t="n">
        <f aca="false">$C$6+$D$6*(SIN(RADIANS(340)))</f>
        <v>-3.42020143325669</v>
      </c>
      <c r="U50" s="30" t="n">
        <f aca="false">$C$6+$D$6*(SIN(RADIANS(350)))</f>
        <v>-1.7364817766693</v>
      </c>
      <c r="V50" s="42" t="n">
        <f aca="false">$C$6+$D$6*(SIN(RADIANS(360)))</f>
        <v>-2.44929359829471E-015</v>
      </c>
    </row>
  </sheetData>
  <mergeCells count="25">
    <mergeCell ref="B4:C4"/>
    <mergeCell ref="B22:C22"/>
    <mergeCell ref="B23:C23"/>
    <mergeCell ref="B24:C24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B37:C37"/>
    <mergeCell ref="B38:C38"/>
    <mergeCell ref="B39:C39"/>
    <mergeCell ref="B40:C40"/>
    <mergeCell ref="B42:C42"/>
    <mergeCell ref="B43:C43"/>
    <mergeCell ref="B44:C44"/>
    <mergeCell ref="B45:C45"/>
    <mergeCell ref="B47:C47"/>
    <mergeCell ref="B48:C48"/>
    <mergeCell ref="B49:C49"/>
    <mergeCell ref="B50:C5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1:V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0" width="10.1396396396396"/>
  </cols>
  <sheetData>
    <row r="1" customFormat="false" ht="12.8" hidden="false" customHeight="false" outlineLevel="0" collapsed="false"/>
    <row r="2" customFormat="false" ht="20.25" hidden="false" customHeight="false" outlineLevel="0" collapsed="false">
      <c r="B2" s="1" t="s">
        <v>179</v>
      </c>
    </row>
    <row r="4" customFormat="false" ht="12" hidden="false" customHeight="false" outlineLevel="0" collapsed="false">
      <c r="B4" s="0" t="s">
        <v>180</v>
      </c>
    </row>
    <row r="5" customFormat="false" ht="12" hidden="false" customHeight="false" outlineLevel="0" collapsed="false">
      <c r="B5" s="8" t="s">
        <v>105</v>
      </c>
      <c r="C5" s="3" t="s">
        <v>181</v>
      </c>
    </row>
    <row r="6" customFormat="false" ht="12.75" hidden="false" customHeight="false" outlineLevel="0" collapsed="false">
      <c r="B6" s="11" t="s">
        <v>106</v>
      </c>
      <c r="C6" s="3" t="s">
        <v>182</v>
      </c>
    </row>
    <row r="7" customFormat="false" ht="12.75" hidden="false" customHeight="false" outlineLevel="0" collapsed="false">
      <c r="B7" s="9" t="n">
        <v>10</v>
      </c>
      <c r="C7" s="7" t="n">
        <v>15</v>
      </c>
    </row>
    <row r="9" customFormat="false" ht="15" hidden="false" customHeight="false" outlineLevel="0" collapsed="false">
      <c r="B9" s="10" t="s">
        <v>8</v>
      </c>
    </row>
    <row r="21" customFormat="false" ht="12" hidden="false" customHeight="false" outlineLevel="0" collapsed="false">
      <c r="B21" s="0" t="s">
        <v>10</v>
      </c>
    </row>
    <row r="23" customFormat="false" ht="12" hidden="false" customHeight="false" outlineLevel="0" collapsed="false">
      <c r="B23" s="23" t="s">
        <v>30</v>
      </c>
      <c r="C23" s="23"/>
      <c r="D23" s="41" t="n">
        <v>0</v>
      </c>
      <c r="E23" s="41" t="s">
        <v>31</v>
      </c>
      <c r="F23" s="23" t="s">
        <v>32</v>
      </c>
      <c r="G23" s="23" t="s">
        <v>33</v>
      </c>
      <c r="H23" s="23" t="s">
        <v>34</v>
      </c>
      <c r="I23" s="23" t="s">
        <v>35</v>
      </c>
      <c r="J23" s="41" t="s">
        <v>36</v>
      </c>
      <c r="K23" s="41" t="s">
        <v>37</v>
      </c>
      <c r="L23" s="41" t="s">
        <v>38</v>
      </c>
      <c r="M23" s="41" t="s">
        <v>39</v>
      </c>
      <c r="N23" s="41" t="s">
        <v>40</v>
      </c>
      <c r="O23" s="41" t="s">
        <v>41</v>
      </c>
      <c r="P23" s="41" t="s">
        <v>42</v>
      </c>
      <c r="Q23" s="41" t="s">
        <v>43</v>
      </c>
      <c r="R23" s="41" t="s">
        <v>44</v>
      </c>
      <c r="S23" s="41" t="s">
        <v>45</v>
      </c>
      <c r="T23" s="41" t="s">
        <v>46</v>
      </c>
      <c r="U23" s="41" t="s">
        <v>47</v>
      </c>
    </row>
    <row r="24" customFormat="false" ht="12" hidden="false" customHeight="false" outlineLevel="0" collapsed="false">
      <c r="B24" s="23" t="s">
        <v>48</v>
      </c>
      <c r="C24" s="23"/>
      <c r="D24" s="41" t="s">
        <v>49</v>
      </c>
      <c r="E24" s="23" t="s">
        <v>50</v>
      </c>
      <c r="F24" s="23" t="s">
        <v>51</v>
      </c>
      <c r="G24" s="23" t="s">
        <v>52</v>
      </c>
      <c r="H24" s="23" t="s">
        <v>53</v>
      </c>
      <c r="I24" s="23" t="s">
        <v>54</v>
      </c>
      <c r="J24" s="23" t="s">
        <v>55</v>
      </c>
      <c r="K24" s="41" t="s">
        <v>56</v>
      </c>
      <c r="L24" s="41" t="s">
        <v>57</v>
      </c>
      <c r="M24" s="41" t="s">
        <v>58</v>
      </c>
      <c r="N24" s="41" t="s">
        <v>59</v>
      </c>
      <c r="O24" s="41" t="s">
        <v>60</v>
      </c>
      <c r="P24" s="41" t="s">
        <v>61</v>
      </c>
      <c r="Q24" s="41" t="s">
        <v>62</v>
      </c>
      <c r="R24" s="41" t="s">
        <v>63</v>
      </c>
      <c r="S24" s="41" t="s">
        <v>64</v>
      </c>
      <c r="T24" s="41" t="s">
        <v>65</v>
      </c>
      <c r="U24" s="41" t="s">
        <v>66</v>
      </c>
    </row>
    <row r="25" customFormat="false" ht="12" hidden="false" customHeight="false" outlineLevel="0" collapsed="false">
      <c r="B25" s="23" t="s">
        <v>5</v>
      </c>
      <c r="C25" s="23"/>
      <c r="D25" s="17" t="n">
        <f aca="false">$B$7*RADIANS(0)-$C$7*SIN(RADIANS(0))</f>
        <v>0</v>
      </c>
      <c r="E25" s="17" t="n">
        <f aca="false">$B$7*RADIANS(10)-$C$7*SIN(RADIANS(10))</f>
        <v>-0.859393413009625</v>
      </c>
      <c r="F25" s="17" t="n">
        <f aca="false">$B$7*RADIANS(20)-$C$7*SIN(RADIANS(20))</f>
        <v>-1.63964364589637</v>
      </c>
      <c r="G25" s="17" t="n">
        <f aca="false">$B$7*RADIANS(30)-$C$7*SIN(RADIANS(30))</f>
        <v>-2.26401224401701</v>
      </c>
      <c r="H25" s="17" t="n">
        <f aca="false">$B$7*RADIANS(40)-$C$7*SIN(RADIANS(40))</f>
        <v>-2.66049713732077</v>
      </c>
      <c r="I25" s="17" t="n">
        <f aca="false">$B$7*RADIANS(50)-$C$7*SIN(RADIANS(50))</f>
        <v>-2.76402038681302</v>
      </c>
      <c r="J25" s="17" t="n">
        <f aca="false">$B$7*RADIANS(60)-$C$7*SIN(RADIANS(60))</f>
        <v>-2.5184055448006</v>
      </c>
      <c r="K25" s="17" t="n">
        <f aca="false">$B$7*RADIANS(70)-$C$7*SIN(RADIANS(70))</f>
        <v>-1.87808454782832</v>
      </c>
      <c r="L25" s="17" t="n">
        <f aca="false">$B$7*RADIANS(80)-$C$7*SIN(RADIANS(80))</f>
        <v>-0.809482279228485</v>
      </c>
      <c r="M25" s="17" t="n">
        <f aca="false">$B$7*RADIANS(90)-$C$7*SIN(RADIANS(90))</f>
        <v>0.707963267948966</v>
      </c>
      <c r="N25" s="17" t="n">
        <f aca="false">$B$7*RADIANS(100)-$C$7*SIN(RADIANS(100))</f>
        <v>2.68117622476018</v>
      </c>
      <c r="O25" s="17" t="n">
        <f aca="false">$B$7*RADIANS(110)-$C$7*SIN(RADIANS(110))</f>
        <v>5.103232460149</v>
      </c>
      <c r="P25" s="17" t="n">
        <f aca="false">$B$7*RADIANS(120)-$C$7*SIN(RADIANS(120))</f>
        <v>7.95356996716537</v>
      </c>
      <c r="Q25" s="17" t="n">
        <f aca="false">$B$7*RADIANS(130)-$C$7*SIN(RADIANS(130))</f>
        <v>11.1986136291416</v>
      </c>
      <c r="R25" s="17" t="n">
        <f aca="false">$B$7*RADIANS(140)-$C$7*SIN(RADIANS(140))</f>
        <v>14.7927953826225</v>
      </c>
      <c r="S25" s="17" t="n">
        <f aca="false">$B$7*RADIANS(150)-$C$7*SIN(RADIANS(150))</f>
        <v>18.6799387799149</v>
      </c>
      <c r="T25" s="17" t="n">
        <f aca="false">$B$7*RADIANS(160)-$C$7*SIN(RADIANS(160))</f>
        <v>22.7949658820242</v>
      </c>
      <c r="U25" s="17" t="n">
        <f aca="false">$B$7*RADIANS(170)-$C$7*SIN(RADIANS(170))</f>
        <v>27.0658746188996</v>
      </c>
      <c r="V25" s="42" t="n">
        <f aca="false">$B$7*RADIANS(180)-$C$7*SIN(RADIANS(0))</f>
        <v>31.4159265358979</v>
      </c>
    </row>
    <row r="26" customFormat="false" ht="12" hidden="false" customHeight="false" outlineLevel="0" collapsed="false">
      <c r="B26" s="23" t="s">
        <v>6</v>
      </c>
      <c r="C26" s="23"/>
      <c r="D26" s="17" t="n">
        <f aca="false">$B$7-$C$7*COS(RADIANS(0))</f>
        <v>-5</v>
      </c>
      <c r="E26" s="17" t="n">
        <f aca="false">$B$7-$C$7*COS(RADIANS(10))</f>
        <v>-4.77211629518312</v>
      </c>
      <c r="F26" s="17" t="n">
        <f aca="false">$B$7-$C$7*COS(RADIANS(20))</f>
        <v>-4.09538931178863</v>
      </c>
      <c r="G26" s="17" t="n">
        <f aca="false">$B$7-$C$7*COS(RADIANS(30))</f>
        <v>-2.99038105676658</v>
      </c>
      <c r="H26" s="17" t="n">
        <f aca="false">$B$7-$C$7*COS(RADIANS(40))</f>
        <v>-1.49066664678467</v>
      </c>
      <c r="I26" s="17" t="n">
        <f aca="false">$B$7-$C$7*COS(RADIANS(50))</f>
        <v>0.35818585470191</v>
      </c>
      <c r="J26" s="17" t="n">
        <f aca="false">$B$7-$C$7*COS(RADIANS(60))</f>
        <v>2.5</v>
      </c>
      <c r="K26" s="17" t="n">
        <f aca="false">$B$7-$C$7*COS(RADIANS(70))</f>
        <v>4.86969785011497</v>
      </c>
      <c r="L26" s="17" t="n">
        <f aca="false">$B$7-$C$7*COS(RADIANS(80))</f>
        <v>7.39527733499604</v>
      </c>
      <c r="M26" s="17" t="n">
        <f aca="false">$B$7-$C$7*COS(RADIANS(90))</f>
        <v>10</v>
      </c>
      <c r="N26" s="17" t="n">
        <f aca="false">$B$7-$C$7*COS(RADIANS(100))</f>
        <v>12.604722665004</v>
      </c>
      <c r="O26" s="17" t="n">
        <f aca="false">$B$7-$C$7*COS(RADIANS(110))</f>
        <v>15.130302149885</v>
      </c>
      <c r="P26" s="17" t="n">
        <f aca="false">$B$7-$C$7*COS(RADIANS(120))</f>
        <v>17.5</v>
      </c>
      <c r="Q26" s="17" t="n">
        <f aca="false">$B$7-$C$7*COS(RADIANS(130))</f>
        <v>19.6418141452981</v>
      </c>
      <c r="R26" s="17" t="n">
        <f aca="false">$B$7-$C$7*COS(RADIANS(140))</f>
        <v>21.4906666467847</v>
      </c>
      <c r="S26" s="17" t="n">
        <f aca="false">$B$7-$C$7*COS(RADIANS(150))</f>
        <v>22.9903810567666</v>
      </c>
      <c r="T26" s="17" t="n">
        <f aca="false">$B$7-$C$7*COS(RADIANS(160))</f>
        <v>24.0953893117886</v>
      </c>
      <c r="U26" s="17" t="n">
        <f aca="false">$B$7-$C$7*COS(RADIANS(170))</f>
        <v>24.7721162951831</v>
      </c>
      <c r="V26" s="42" t="n">
        <f aca="false">$B$7-$C$7*COS(RADIANS(180))</f>
        <v>25</v>
      </c>
    </row>
    <row r="28" customFormat="false" ht="12" hidden="false" customHeight="false" outlineLevel="0" collapsed="false">
      <c r="B28" s="23" t="s">
        <v>30</v>
      </c>
      <c r="C28" s="23"/>
      <c r="D28" s="41" t="s">
        <v>67</v>
      </c>
      <c r="E28" s="41" t="s">
        <v>68</v>
      </c>
      <c r="F28" s="41" t="s">
        <v>69</v>
      </c>
      <c r="G28" s="41" t="s">
        <v>70</v>
      </c>
      <c r="H28" s="41" t="s">
        <v>71</v>
      </c>
      <c r="I28" s="41" t="s">
        <v>72</v>
      </c>
      <c r="J28" s="41" t="s">
        <v>73</v>
      </c>
      <c r="K28" s="41" t="s">
        <v>74</v>
      </c>
      <c r="L28" s="41" t="s">
        <v>75</v>
      </c>
      <c r="M28" s="41" t="s">
        <v>76</v>
      </c>
      <c r="N28" s="41" t="s">
        <v>77</v>
      </c>
      <c r="O28" s="41" t="s">
        <v>78</v>
      </c>
      <c r="P28" s="41" t="s">
        <v>79</v>
      </c>
      <c r="Q28" s="41" t="s">
        <v>80</v>
      </c>
      <c r="R28" s="41" t="s">
        <v>81</v>
      </c>
      <c r="S28" s="41" t="s">
        <v>82</v>
      </c>
      <c r="T28" s="41" t="s">
        <v>83</v>
      </c>
      <c r="U28" s="41" t="s">
        <v>84</v>
      </c>
    </row>
    <row r="29" customFormat="false" ht="12" hidden="false" customHeight="false" outlineLevel="0" collapsed="false">
      <c r="B29" s="23" t="s">
        <v>48</v>
      </c>
      <c r="C29" s="23"/>
      <c r="D29" s="41" t="s">
        <v>85</v>
      </c>
      <c r="E29" s="41" t="s">
        <v>86</v>
      </c>
      <c r="F29" s="41" t="s">
        <v>87</v>
      </c>
      <c r="G29" s="41" t="s">
        <v>88</v>
      </c>
      <c r="H29" s="41" t="s">
        <v>89</v>
      </c>
      <c r="I29" s="41" t="s">
        <v>90</v>
      </c>
      <c r="J29" s="41" t="s">
        <v>91</v>
      </c>
      <c r="K29" s="41" t="s">
        <v>92</v>
      </c>
      <c r="L29" s="41" t="s">
        <v>93</v>
      </c>
      <c r="M29" s="41" t="s">
        <v>94</v>
      </c>
      <c r="N29" s="41" t="s">
        <v>95</v>
      </c>
      <c r="O29" s="41" t="s">
        <v>96</v>
      </c>
      <c r="P29" s="41" t="s">
        <v>97</v>
      </c>
      <c r="Q29" s="41" t="s">
        <v>98</v>
      </c>
      <c r="R29" s="41" t="s">
        <v>99</v>
      </c>
      <c r="S29" s="41" t="s">
        <v>100</v>
      </c>
      <c r="T29" s="41" t="s">
        <v>101</v>
      </c>
      <c r="U29" s="41" t="s">
        <v>102</v>
      </c>
    </row>
    <row r="30" customFormat="false" ht="12" hidden="false" customHeight="false" outlineLevel="0" collapsed="false">
      <c r="B30" s="23" t="s">
        <v>5</v>
      </c>
      <c r="C30" s="23"/>
      <c r="D30" s="17" t="n">
        <f aca="false">$B$7*RADIANS(180)-$C$7*SIN(RADIANS(180))</f>
        <v>31.4159265358979</v>
      </c>
      <c r="E30" s="17" t="n">
        <f aca="false">$B$7*RADIANS(190)-$C$7*SIN(RADIANS(190))</f>
        <v>35.7659784528962</v>
      </c>
      <c r="F30" s="17" t="n">
        <f aca="false">$B$7*RADIANS(200)-$C$7*SIN(RADIANS(200))</f>
        <v>40.0368871897716</v>
      </c>
      <c r="G30" s="17" t="n">
        <f aca="false">$B$7*RADIANS(210)-$C$7*SIN(RADIANS(210))</f>
        <v>44.1519142918809</v>
      </c>
      <c r="H30" s="17" t="n">
        <f aca="false">$B$7*RADIANS(220)-$C$7*SIN(RADIANS(220))</f>
        <v>48.0390576891733</v>
      </c>
      <c r="I30" s="17" t="n">
        <f aca="false">$B$7*RADIANS(230)-$C$7*SIN(RADIANS(230))</f>
        <v>51.6332394426542</v>
      </c>
      <c r="J30" s="17" t="n">
        <f aca="false">$B$7*RADIANS(240)-$C$7*SIN(RADIANS(240))</f>
        <v>54.8782831046305</v>
      </c>
      <c r="K30" s="17" t="n">
        <f aca="false">$B$7*RADIANS(250)-$C$7*SIN(RADIANS(250))</f>
        <v>57.7286206116469</v>
      </c>
      <c r="L30" s="17" t="n">
        <f aca="false">$B$7*RADIANS(260)-$C$7*SIN(RADIANS(260))</f>
        <v>60.1506768470357</v>
      </c>
      <c r="M30" s="17" t="n">
        <f aca="false">$B$7*RADIANS(270)-$C$7*SIN(RADIANS(270))</f>
        <v>62.1238898038469</v>
      </c>
      <c r="N30" s="17" t="n">
        <f aca="false">$B$7*RADIANS(280)-$C$7*SIN(RADIANS(280))</f>
        <v>63.6413353510244</v>
      </c>
      <c r="O30" s="17" t="n">
        <f aca="false">$B$7*RADIANS(290)-$C$7*SIN(RADIANS(290))</f>
        <v>64.7099376196242</v>
      </c>
      <c r="P30" s="17" t="n">
        <f aca="false">$B$7*RADIANS(300)-$C$7*SIN(RADIANS(300))</f>
        <v>65.3502586165965</v>
      </c>
      <c r="Q30" s="17" t="n">
        <f aca="false">$B$7*RADIANS(310)-$C$7*SIN(RADIANS(310))</f>
        <v>65.5958734586089</v>
      </c>
      <c r="R30" s="17" t="n">
        <f aca="false">$B$7*RADIANS(320)-$C$7*SIN(RADIANS(320))</f>
        <v>65.4923502091166</v>
      </c>
      <c r="S30" s="17" t="n">
        <f aca="false">$B$7*RADIANS(330)-$C$7*SIN(RADIANS(330))</f>
        <v>65.0958653158129</v>
      </c>
      <c r="T30" s="17" t="n">
        <f aca="false">$B$7*RADIANS(340)-$C$7*SIN(RADIANS(340))</f>
        <v>64.4714967176922</v>
      </c>
      <c r="U30" s="17" t="n">
        <f aca="false">$B$7*RADIANS(350)-$C$7*SIN(RADIANS(350))</f>
        <v>63.6912464848055</v>
      </c>
      <c r="V30" s="42" t="n">
        <f aca="false">$B$7*RADIANS(360)-$C$7*SIN(RADIANS(360))</f>
        <v>62.8318530717959</v>
      </c>
    </row>
    <row r="31" customFormat="false" ht="12" hidden="false" customHeight="false" outlineLevel="0" collapsed="false">
      <c r="B31" s="23" t="s">
        <v>6</v>
      </c>
      <c r="C31" s="23"/>
      <c r="D31" s="17" t="n">
        <f aca="false">$B$7-$C$7*COS(RADIANS(180))</f>
        <v>25</v>
      </c>
      <c r="E31" s="17" t="n">
        <f aca="false">$B$7-$C$7*COS(RADIANS(190))</f>
        <v>24.7721162951831</v>
      </c>
      <c r="F31" s="17" t="n">
        <f aca="false">$B$7-$C$7*COS(RADIANS(200))</f>
        <v>24.0953893117886</v>
      </c>
      <c r="G31" s="17" t="n">
        <f aca="false">$B$7-$C$7*COS(RADIANS(210))</f>
        <v>22.9903810567666</v>
      </c>
      <c r="H31" s="17" t="n">
        <f aca="false">$B$7-$C$7*COS(RADIANS(220))</f>
        <v>21.4906666467847</v>
      </c>
      <c r="I31" s="17" t="n">
        <f aca="false">$B$7-$C$7*COS(RADIANS(230))</f>
        <v>19.6418141452981</v>
      </c>
      <c r="J31" s="17" t="n">
        <f aca="false">$B$7-$C$7*COS(RADIANS(240))</f>
        <v>17.5</v>
      </c>
      <c r="K31" s="17" t="n">
        <f aca="false">$B$7-$C$7*COS(RADIANS(250))</f>
        <v>15.130302149885</v>
      </c>
      <c r="L31" s="17" t="n">
        <f aca="false">$B$7-$C$7*COS(RADIANS(260))</f>
        <v>12.604722665004</v>
      </c>
      <c r="M31" s="17" t="n">
        <f aca="false">$B$7-$C$7*COS(RADIANS(270))</f>
        <v>10</v>
      </c>
      <c r="N31" s="17" t="n">
        <f aca="false">$B$7-$C$7*COS(RADIANS(280))</f>
        <v>7.39527733499605</v>
      </c>
      <c r="O31" s="17" t="n">
        <f aca="false">$B$7-$C$7*COS(RADIANS(290))</f>
        <v>4.86969785011497</v>
      </c>
      <c r="P31" s="17" t="n">
        <f aca="false">$B$7-$C$7*COS(RADIANS(300))</f>
        <v>2.5</v>
      </c>
      <c r="Q31" s="17" t="n">
        <f aca="false">$B$7-$C$7*COS(RADIANS(310))</f>
        <v>0.358185854701912</v>
      </c>
      <c r="R31" s="17" t="n">
        <f aca="false">$B$7-$C$7*COS(RADIANS(320))</f>
        <v>-1.49066664678467</v>
      </c>
      <c r="S31" s="17" t="n">
        <f aca="false">$B$7-$C$7*COS(RADIANS(330))</f>
        <v>-2.99038105676658</v>
      </c>
      <c r="T31" s="17" t="n">
        <f aca="false">$B$7-$C$7*COS(RADIANS(340))</f>
        <v>-4.09538931178863</v>
      </c>
      <c r="U31" s="17" t="n">
        <f aca="false">$B$7-$C$7*COS(RADIANS(350))</f>
        <v>-4.77211629518312</v>
      </c>
      <c r="V31" s="42" t="n">
        <f aca="false">$B$7-$C$7*COS(RADIANS(360))</f>
        <v>-5</v>
      </c>
    </row>
    <row r="33" customFormat="false" ht="12" hidden="false" customHeight="false" outlineLevel="0" collapsed="false">
      <c r="B33" s="23" t="s">
        <v>30</v>
      </c>
      <c r="C33" s="23"/>
      <c r="D33" s="41" t="s">
        <v>107</v>
      </c>
      <c r="E33" s="41" t="s">
        <v>108</v>
      </c>
      <c r="F33" s="23" t="s">
        <v>109</v>
      </c>
      <c r="G33" s="23" t="s">
        <v>110</v>
      </c>
      <c r="H33" s="23" t="s">
        <v>111</v>
      </c>
      <c r="I33" s="23" t="s">
        <v>112</v>
      </c>
      <c r="J33" s="41" t="s">
        <v>113</v>
      </c>
      <c r="K33" s="41" t="s">
        <v>114</v>
      </c>
      <c r="L33" s="41" t="s">
        <v>115</v>
      </c>
      <c r="M33" s="41" t="s">
        <v>116</v>
      </c>
      <c r="N33" s="41" t="s">
        <v>117</v>
      </c>
      <c r="O33" s="41" t="s">
        <v>118</v>
      </c>
      <c r="P33" s="41" t="s">
        <v>119</v>
      </c>
      <c r="Q33" s="41" t="s">
        <v>120</v>
      </c>
      <c r="R33" s="41" t="s">
        <v>121</v>
      </c>
      <c r="S33" s="41" t="s">
        <v>122</v>
      </c>
      <c r="T33" s="41" t="s">
        <v>123</v>
      </c>
      <c r="U33" s="41" t="s">
        <v>124</v>
      </c>
    </row>
    <row r="34" customFormat="false" ht="12" hidden="false" customHeight="false" outlineLevel="0" collapsed="false">
      <c r="B34" s="23" t="s">
        <v>48</v>
      </c>
      <c r="C34" s="23"/>
      <c r="D34" s="41" t="s">
        <v>125</v>
      </c>
      <c r="E34" s="23" t="s">
        <v>126</v>
      </c>
      <c r="F34" s="23" t="s">
        <v>127</v>
      </c>
      <c r="G34" s="23" t="s">
        <v>128</v>
      </c>
      <c r="H34" s="23" t="s">
        <v>129</v>
      </c>
      <c r="I34" s="23" t="s">
        <v>130</v>
      </c>
      <c r="J34" s="23" t="s">
        <v>131</v>
      </c>
      <c r="K34" s="41" t="s">
        <v>132</v>
      </c>
      <c r="L34" s="41" t="s">
        <v>133</v>
      </c>
      <c r="M34" s="41" t="s">
        <v>134</v>
      </c>
      <c r="N34" s="41" t="s">
        <v>135</v>
      </c>
      <c r="O34" s="41" t="s">
        <v>136</v>
      </c>
      <c r="P34" s="41" t="s">
        <v>137</v>
      </c>
      <c r="Q34" s="41" t="s">
        <v>138</v>
      </c>
      <c r="R34" s="41" t="s">
        <v>139</v>
      </c>
      <c r="S34" s="41" t="s">
        <v>140</v>
      </c>
      <c r="T34" s="41" t="s">
        <v>141</v>
      </c>
      <c r="U34" s="41" t="s">
        <v>142</v>
      </c>
    </row>
    <row r="35" customFormat="false" ht="12" hidden="false" customHeight="false" outlineLevel="0" collapsed="false">
      <c r="B35" s="23" t="s">
        <v>5</v>
      </c>
      <c r="C35" s="23"/>
      <c r="D35" s="17" t="n">
        <f aca="false">$B$7*RADIANS(360)-$C$7*SIN(RADIANS(360))</f>
        <v>62.8318530717959</v>
      </c>
      <c r="E35" s="17" t="n">
        <f aca="false">$B$7*RADIANS(370)-$C$7*SIN(RADIANS(370))</f>
        <v>61.9724596587863</v>
      </c>
      <c r="F35" s="17" t="n">
        <f aca="false">$B$7*RADIANS(380)-$C$7*SIN(RADIANS(380))</f>
        <v>61.1922094258995</v>
      </c>
      <c r="G35" s="17" t="n">
        <f aca="false">$B$7*RADIANS(390)-$C$7*SIN(RADIANS(390))</f>
        <v>60.5678408277789</v>
      </c>
      <c r="H35" s="17" t="n">
        <f aca="false">$B$7*RADIANS(400)-$C$7*SIN(RADIANS(400))</f>
        <v>60.1713559344751</v>
      </c>
      <c r="I35" s="17" t="n">
        <f aca="false">$B$7*RADIANS(410)-$C$7*SIN(RADIANS(410))</f>
        <v>60.0678326849828</v>
      </c>
      <c r="J35" s="17" t="n">
        <f aca="false">$B$7*RADIANS(420)-$C$7*SIN(RADIANS(420))</f>
        <v>60.3134475269953</v>
      </c>
      <c r="K35" s="17" t="n">
        <f aca="false">$B$7*RADIANS(430)-$C$7*SIN(RADIANS(430))</f>
        <v>60.9537685239676</v>
      </c>
      <c r="L35" s="17" t="n">
        <f aca="false">$B$7*RADIANS(440)-$C$7*SIN(RADIANS(440))</f>
        <v>62.0223707925674</v>
      </c>
      <c r="M35" s="17" t="n">
        <f aca="false">$B$7*RADIANS(450)-$C$7*SIN(RADIANS(450))</f>
        <v>63.5398163397448</v>
      </c>
      <c r="N35" s="17" t="n">
        <f aca="false">$B$7*RADIANS(460)-$C$7*SIN(RADIANS(460))</f>
        <v>65.513029296556</v>
      </c>
      <c r="O35" s="17" t="n">
        <f aca="false">$B$7*RADIANS(470)-$C$7*SIN(RADIANS(470))</f>
        <v>67.9350855319449</v>
      </c>
      <c r="P35" s="17" t="n">
        <f aca="false">$B$7*RADIANS(480)-$C$7*SIN(RADIANS(480))</f>
        <v>70.7854230389612</v>
      </c>
      <c r="Q35" s="17" t="n">
        <f aca="false">$B$7*RADIANS(490)-$C$7*SIN(RADIANS(490))</f>
        <v>74.0304667009375</v>
      </c>
      <c r="R35" s="17" t="n">
        <f aca="false">$B$7*RADIANS(500)-$C$7*SIN(RADIANS(500))</f>
        <v>77.6246484544184</v>
      </c>
      <c r="S35" s="17" t="n">
        <f aca="false">$B$7*RADIANS(510)-$C$7*SIN(RADIANS(510))</f>
        <v>81.5117918517108</v>
      </c>
      <c r="T35" s="17" t="n">
        <f aca="false">$B$7*RADIANS(520)-$C$7*SIN(RADIANS(520))</f>
        <v>85.6268189538201</v>
      </c>
      <c r="U35" s="17" t="n">
        <f aca="false">$B$7*RADIANS(530)-$C$7*SIN(RADIANS(530))</f>
        <v>89.8977276906955</v>
      </c>
      <c r="V35" s="42" t="n">
        <f aca="false">$B$7*RADIANS(540)-$C$7*SIN(RADIANS(540))</f>
        <v>94.2477796076938</v>
      </c>
    </row>
    <row r="36" customFormat="false" ht="12" hidden="false" customHeight="false" outlineLevel="0" collapsed="false">
      <c r="B36" s="23" t="s">
        <v>6</v>
      </c>
      <c r="C36" s="23"/>
      <c r="D36" s="17" t="n">
        <f aca="false">$B$7-$C$7*COS(RADIANS(360))</f>
        <v>-5</v>
      </c>
      <c r="E36" s="17" t="n">
        <f aca="false">$B$7-$C$7*COS(RADIANS(370))</f>
        <v>-4.77211629518312</v>
      </c>
      <c r="F36" s="17" t="n">
        <f aca="false">$B$7-$C$7*COS(RADIANS(380))</f>
        <v>-4.09538931178862</v>
      </c>
      <c r="G36" s="17" t="n">
        <f aca="false">$B$7-$C$7*COS(RADIANS(390))</f>
        <v>-2.99038105676658</v>
      </c>
      <c r="H36" s="17" t="n">
        <f aca="false">$B$7-$C$7*COS(RADIANS(4000))</f>
        <v>-1.49066664678464</v>
      </c>
      <c r="I36" s="17" t="n">
        <f aca="false">$B$7-$C$7*COS(RADIANS(410))</f>
        <v>0.358185854701906</v>
      </c>
      <c r="J36" s="17" t="n">
        <f aca="false">$B$7-$C$7*COS(RADIANS(420))</f>
        <v>2.5</v>
      </c>
      <c r="K36" s="17" t="n">
        <f aca="false">$B$7-$C$7*COS(RADIANS(430))</f>
        <v>4.86969785011497</v>
      </c>
      <c r="L36" s="17" t="n">
        <f aca="false">$B$7-$C$7*COS(RADIANS(440))</f>
        <v>7.39527733499604</v>
      </c>
      <c r="M36" s="17" t="n">
        <f aca="false">$B$7-$C$7*COS(RADIANS(450))</f>
        <v>10</v>
      </c>
      <c r="N36" s="17" t="n">
        <f aca="false">$B$7-$C$7*COS(RADIANS(460))</f>
        <v>12.6047226650039</v>
      </c>
      <c r="O36" s="17" t="n">
        <f aca="false">$B$7-$C$7*COS(RADIANS(470))</f>
        <v>15.130302149885</v>
      </c>
      <c r="P36" s="17" t="n">
        <f aca="false">$B$7-$C$7*COS(RADIANS(480))</f>
        <v>17.5</v>
      </c>
      <c r="Q36" s="17" t="n">
        <f aca="false">$B$7-$C$7*COS(RADIANS(490))</f>
        <v>19.6418141452981</v>
      </c>
      <c r="R36" s="17" t="n">
        <f aca="false">$B$7-$C$7*COS(RADIANS(500))</f>
        <v>21.4906666467847</v>
      </c>
      <c r="S36" s="17" t="n">
        <f aca="false">$B$7-$C$7*COS(RADIANS(510))</f>
        <v>22.9903810567666</v>
      </c>
      <c r="T36" s="17" t="n">
        <f aca="false">$B$7-$C$7*COS(RADIANS(520))</f>
        <v>24.0953893117886</v>
      </c>
      <c r="U36" s="17" t="n">
        <f aca="false">$B$7-$C$7*COS(RADIANS(530))</f>
        <v>24.7721162951831</v>
      </c>
      <c r="V36" s="42" t="n">
        <f aca="false">$B$7-$C$7*COS(RADIANS(540))</f>
        <v>25</v>
      </c>
    </row>
    <row r="38" customFormat="false" ht="12" hidden="false" customHeight="false" outlineLevel="0" collapsed="false">
      <c r="B38" s="23" t="s">
        <v>30</v>
      </c>
      <c r="C38" s="23"/>
      <c r="D38" s="41" t="s">
        <v>143</v>
      </c>
      <c r="E38" s="41" t="s">
        <v>144</v>
      </c>
      <c r="F38" s="41" t="s">
        <v>145</v>
      </c>
      <c r="G38" s="41" t="s">
        <v>146</v>
      </c>
      <c r="H38" s="41" t="s">
        <v>147</v>
      </c>
      <c r="I38" s="41" t="s">
        <v>148</v>
      </c>
      <c r="J38" s="41" t="s">
        <v>149</v>
      </c>
      <c r="K38" s="41" t="s">
        <v>150</v>
      </c>
      <c r="L38" s="41" t="s">
        <v>151</v>
      </c>
      <c r="M38" s="41" t="s">
        <v>152</v>
      </c>
      <c r="N38" s="41" t="s">
        <v>153</v>
      </c>
      <c r="O38" s="41" t="s">
        <v>154</v>
      </c>
      <c r="P38" s="41" t="s">
        <v>155</v>
      </c>
      <c r="Q38" s="41" t="s">
        <v>156</v>
      </c>
      <c r="R38" s="41" t="s">
        <v>157</v>
      </c>
      <c r="S38" s="41" t="s">
        <v>158</v>
      </c>
      <c r="T38" s="41" t="s">
        <v>159</v>
      </c>
      <c r="U38" s="41" t="s">
        <v>160</v>
      </c>
    </row>
    <row r="39" customFormat="false" ht="12" hidden="false" customHeight="false" outlineLevel="0" collapsed="false">
      <c r="B39" s="23" t="s">
        <v>48</v>
      </c>
      <c r="C39" s="23"/>
      <c r="D39" s="41" t="s">
        <v>161</v>
      </c>
      <c r="E39" s="41" t="s">
        <v>162</v>
      </c>
      <c r="F39" s="41" t="s">
        <v>163</v>
      </c>
      <c r="G39" s="41" t="s">
        <v>164</v>
      </c>
      <c r="H39" s="41" t="s">
        <v>165</v>
      </c>
      <c r="I39" s="41" t="s">
        <v>166</v>
      </c>
      <c r="J39" s="41" t="s">
        <v>167</v>
      </c>
      <c r="K39" s="41" t="s">
        <v>168</v>
      </c>
      <c r="L39" s="41" t="s">
        <v>169</v>
      </c>
      <c r="M39" s="41" t="s">
        <v>170</v>
      </c>
      <c r="N39" s="41" t="s">
        <v>171</v>
      </c>
      <c r="O39" s="41" t="s">
        <v>172</v>
      </c>
      <c r="P39" s="41" t="s">
        <v>173</v>
      </c>
      <c r="Q39" s="41" t="s">
        <v>174</v>
      </c>
      <c r="R39" s="41" t="s">
        <v>175</v>
      </c>
      <c r="S39" s="41" t="s">
        <v>176</v>
      </c>
      <c r="T39" s="41" t="s">
        <v>177</v>
      </c>
      <c r="U39" s="41" t="s">
        <v>178</v>
      </c>
    </row>
    <row r="40" customFormat="false" ht="12" hidden="false" customHeight="false" outlineLevel="0" collapsed="false">
      <c r="B40" s="23" t="s">
        <v>5</v>
      </c>
      <c r="C40" s="23"/>
      <c r="D40" s="17" t="n">
        <f aca="false">$B$7*RADIANS(540)-$C$7*SIN(RADIANS(540))</f>
        <v>94.2477796076938</v>
      </c>
      <c r="E40" s="17" t="n">
        <f aca="false">$B$7*RADIANS(550)-$C$7*SIN(RADIANS(550))</f>
        <v>98.5978315246921</v>
      </c>
      <c r="F40" s="17" t="n">
        <f aca="false">$B$7*RADIANS(560)-$C$7*SIN(RADIANS(560))</f>
        <v>102.868740261567</v>
      </c>
      <c r="G40" s="17" t="n">
        <f aca="false">$B$7*RADIANS(570)-$C$7*SIN(RADIANS(570))</f>
        <v>106.983767363677</v>
      </c>
      <c r="H40" s="17" t="n">
        <f aca="false">$B$7*RADIANS(580)-$C$7*SIN(RADIANS(580))</f>
        <v>110.870910760969</v>
      </c>
      <c r="I40" s="17" t="n">
        <f aca="false">$B$7*RADIANS(590)-$C$7*SIN(RADIANS(590))</f>
        <v>114.46509251445</v>
      </c>
      <c r="J40" s="17" t="n">
        <f aca="false">$B$7*RADIANS(600)-$C$7*SIN(RADIANS(600))</f>
        <v>117.710136176426</v>
      </c>
      <c r="K40" s="17" t="n">
        <f aca="false">$B$7*RADIANS(610)-$C$7*SIN(RADIANS(610))</f>
        <v>120.560473683443</v>
      </c>
      <c r="L40" s="17" t="n">
        <f aca="false">$B$7*RADIANS(620)-$C$7*SIN(RADIANS(620))</f>
        <v>122.982529918832</v>
      </c>
      <c r="M40" s="17" t="n">
        <f aca="false">$B$7*RADIANS(630)-$C$7*SIN(RADIANS(630))</f>
        <v>124.955742875643</v>
      </c>
      <c r="N40" s="17" t="n">
        <f aca="false">$B$7*RADIANS(640)-$C$7*SIN(RADIANS(640))</f>
        <v>126.47318842282</v>
      </c>
      <c r="O40" s="17" t="n">
        <f aca="false">$B$7*RADIANS(650)-$C$7*SIN(RADIANS(650))</f>
        <v>127.54179069142</v>
      </c>
      <c r="P40" s="17" t="n">
        <f aca="false">$B$7*RADIANS(660)-$C$7*SIN(RADIANS(660))</f>
        <v>128.182111688392</v>
      </c>
      <c r="Q40" s="17" t="n">
        <f aca="false">$B$7*RADIANS(670)-$C$7*SIN(RADIANS(670))</f>
        <v>128.427726530405</v>
      </c>
      <c r="R40" s="17" t="n">
        <f aca="false">$B$7*RADIANS(680)-$C$7*SIN(RADIANS(680))</f>
        <v>128.324203280913</v>
      </c>
      <c r="S40" s="17" t="n">
        <f aca="false">$B$7*RADIANS(690)-$C$7*SIN(RADIANS(690))</f>
        <v>127.927718387609</v>
      </c>
      <c r="T40" s="17" t="n">
        <f aca="false">$B$7*RADIANS(700)-$C$7*SIN(RADIANS(700))</f>
        <v>127.303349789488</v>
      </c>
      <c r="U40" s="17" t="n">
        <f aca="false">$B$7*RADIANS(710)-$C$7*SIN(RADIANS(710))</f>
        <v>126.523099556601</v>
      </c>
      <c r="V40" s="42" t="n">
        <f aca="false">$B$7*RADIANS(720)-$C$7*SIN(RADIANS(720))</f>
        <v>125.663706143592</v>
      </c>
    </row>
    <row r="41" customFormat="false" ht="12" hidden="false" customHeight="false" outlineLevel="0" collapsed="false">
      <c r="B41" s="23" t="s">
        <v>6</v>
      </c>
      <c r="C41" s="23"/>
      <c r="D41" s="17" t="n">
        <f aca="false">$B$7-$C$7*COS(RADIANS(540))</f>
        <v>25</v>
      </c>
      <c r="E41" s="17" t="n">
        <f aca="false">$B$7-$C$7*COS(RADIANS(550))</f>
        <v>24.7721162951831</v>
      </c>
      <c r="F41" s="17" t="n">
        <f aca="false">$B$7-$C$7*COS(RADIANS(560))</f>
        <v>24.0953893117886</v>
      </c>
      <c r="G41" s="17" t="n">
        <f aca="false">$B$7-$C$7*COS(RADIANS(570))</f>
        <v>22.9903810567666</v>
      </c>
      <c r="H41" s="17" t="n">
        <f aca="false">$B$7-$C$7*COS(RADIANS(580))</f>
        <v>21.4906666467847</v>
      </c>
      <c r="I41" s="17" t="n">
        <f aca="false">$B$7-$C$7*COS(RADIANS(590))</f>
        <v>19.6418141452981</v>
      </c>
      <c r="J41" s="17" t="n">
        <f aca="false">$B$7-$C$7*COS(RADIANS(600))</f>
        <v>17.5</v>
      </c>
      <c r="K41" s="17" t="n">
        <f aca="false">$B$7-$C$7*COS(RADIANS(610))</f>
        <v>15.130302149885</v>
      </c>
      <c r="L41" s="17" t="n">
        <f aca="false">$B$7-$C$7*COS(RADIANS(620))</f>
        <v>12.604722665004</v>
      </c>
      <c r="M41" s="17" t="n">
        <f aca="false">$B$7-$C$7*COS(RADIANS(630))</f>
        <v>10</v>
      </c>
      <c r="N41" s="17" t="n">
        <f aca="false">$B$7-$C$7*COS(RADIANS(640))</f>
        <v>7.39527733499605</v>
      </c>
      <c r="O41" s="17" t="n">
        <f aca="false">$B$7-$C$7*COS(RADIANS(650))</f>
        <v>4.86969785011498</v>
      </c>
      <c r="P41" s="17" t="n">
        <f aca="false">$B$7-$C$7*COS(RADIANS(660))</f>
        <v>2.50000000000001</v>
      </c>
      <c r="Q41" s="17" t="n">
        <f aca="false">$B$7-$C$7*COS(RADIANS(670))</f>
        <v>0.358185854701905</v>
      </c>
      <c r="R41" s="17" t="n">
        <f aca="false">$B$7-$C$7*COS(RADIANS(680))</f>
        <v>-1.49066664678467</v>
      </c>
      <c r="S41" s="17" t="n">
        <f aca="false">$B$7-$C$7*COS(RADIANS(690))</f>
        <v>-2.99038105676658</v>
      </c>
      <c r="T41" s="17" t="n">
        <f aca="false">$B$7-$C$7*COS(RADIANS(700))</f>
        <v>-4.09538931178862</v>
      </c>
      <c r="U41" s="17" t="n">
        <f aca="false">$B$7-$C$7*COS(RADIANS(710))</f>
        <v>-4.77211629518312</v>
      </c>
      <c r="V41" s="42" t="n">
        <f aca="false">$B$7-$C$7*COS(RADIANS(720))</f>
        <v>-5</v>
      </c>
    </row>
    <row r="43" customFormat="false" ht="12" hidden="false" customHeight="false" outlineLevel="0" collapsed="false">
      <c r="B43" s="8" t="s">
        <v>30</v>
      </c>
      <c r="C43" s="8"/>
      <c r="D43" s="44" t="n">
        <v>0</v>
      </c>
      <c r="E43" s="44" t="s">
        <v>31</v>
      </c>
      <c r="F43" s="8" t="s">
        <v>32</v>
      </c>
      <c r="G43" s="8" t="s">
        <v>33</v>
      </c>
      <c r="H43" s="8" t="s">
        <v>34</v>
      </c>
      <c r="I43" s="8" t="s">
        <v>35</v>
      </c>
      <c r="J43" s="44" t="s">
        <v>36</v>
      </c>
      <c r="K43" s="44" t="s">
        <v>37</v>
      </c>
      <c r="L43" s="44" t="s">
        <v>38</v>
      </c>
      <c r="M43" s="44" t="s">
        <v>39</v>
      </c>
      <c r="N43" s="44" t="s">
        <v>40</v>
      </c>
      <c r="O43" s="44" t="s">
        <v>41</v>
      </c>
      <c r="P43" s="44" t="s">
        <v>42</v>
      </c>
      <c r="Q43" s="44" t="s">
        <v>43</v>
      </c>
      <c r="R43" s="44" t="s">
        <v>44</v>
      </c>
      <c r="S43" s="44" t="s">
        <v>45</v>
      </c>
      <c r="T43" s="44" t="s">
        <v>46</v>
      </c>
      <c r="U43" s="44" t="s">
        <v>47</v>
      </c>
    </row>
    <row r="44" customFormat="false" ht="12" hidden="false" customHeight="false" outlineLevel="0" collapsed="false">
      <c r="B44" s="8" t="s">
        <v>48</v>
      </c>
      <c r="C44" s="8"/>
      <c r="D44" s="44" t="s">
        <v>49</v>
      </c>
      <c r="E44" s="8" t="s">
        <v>50</v>
      </c>
      <c r="F44" s="8" t="s">
        <v>51</v>
      </c>
      <c r="G44" s="8" t="s">
        <v>52</v>
      </c>
      <c r="H44" s="8" t="s">
        <v>53</v>
      </c>
      <c r="I44" s="8" t="s">
        <v>54</v>
      </c>
      <c r="J44" s="8" t="s">
        <v>55</v>
      </c>
      <c r="K44" s="44" t="s">
        <v>56</v>
      </c>
      <c r="L44" s="44" t="s">
        <v>57</v>
      </c>
      <c r="M44" s="44" t="s">
        <v>58</v>
      </c>
      <c r="N44" s="44" t="s">
        <v>59</v>
      </c>
      <c r="O44" s="44" t="s">
        <v>60</v>
      </c>
      <c r="P44" s="44" t="s">
        <v>61</v>
      </c>
      <c r="Q44" s="44" t="s">
        <v>62</v>
      </c>
      <c r="R44" s="44" t="s">
        <v>63</v>
      </c>
      <c r="S44" s="44" t="s">
        <v>64</v>
      </c>
      <c r="T44" s="44" t="s">
        <v>65</v>
      </c>
      <c r="U44" s="44" t="s">
        <v>66</v>
      </c>
    </row>
    <row r="45" customFormat="false" ht="12" hidden="false" customHeight="false" outlineLevel="0" collapsed="false">
      <c r="B45" s="8" t="s">
        <v>5</v>
      </c>
      <c r="C45" s="8"/>
      <c r="D45" s="30" t="n">
        <f aca="false">$B$7*(COS(RADIANS(0)))</f>
        <v>10</v>
      </c>
      <c r="E45" s="30" t="n">
        <f aca="false">$B$7*(COS(RADIANS(10)))</f>
        <v>9.84807753012208</v>
      </c>
      <c r="F45" s="30" t="n">
        <f aca="false">$B$7*(COS(RADIANS(20)))</f>
        <v>9.39692620785909</v>
      </c>
      <c r="G45" s="30" t="n">
        <f aca="false">$B$7*(COS(RADIANS(30)))</f>
        <v>8.66025403784439</v>
      </c>
      <c r="H45" s="30" t="n">
        <f aca="false">$B$7*(COS(RADIANS(40)))</f>
        <v>7.66044443118978</v>
      </c>
      <c r="I45" s="30" t="n">
        <f aca="false">$B$7*(COS(RADIANS(50)))</f>
        <v>6.42787609686539</v>
      </c>
      <c r="J45" s="30" t="n">
        <f aca="false">$B$7*(COS(RADIANS(60)))</f>
        <v>5</v>
      </c>
      <c r="K45" s="30" t="n">
        <f aca="false">$B$7*(COS(RADIANS(70)))</f>
        <v>3.42020143325669</v>
      </c>
      <c r="L45" s="30" t="n">
        <f aca="false">$B$7*(COS(RADIANS(80)))</f>
        <v>1.7364817766693</v>
      </c>
      <c r="M45" s="30" t="n">
        <f aca="false">$B$7*(COS(RADIANS(90)))</f>
        <v>6.12323399573677E-016</v>
      </c>
      <c r="N45" s="30" t="n">
        <f aca="false">$B$7*(COS(RADIANS(100)))</f>
        <v>-1.7364817766693</v>
      </c>
      <c r="O45" s="30" t="n">
        <f aca="false">$B$7*(COS(RADIANS(110)))</f>
        <v>-3.42020143325669</v>
      </c>
      <c r="P45" s="30" t="n">
        <f aca="false">$B$7*(COS(RADIANS(120)))</f>
        <v>-5</v>
      </c>
      <c r="Q45" s="30" t="n">
        <f aca="false">$B$7*(COS(RADIANS(130)))</f>
        <v>-6.42787609686539</v>
      </c>
      <c r="R45" s="30" t="n">
        <f aca="false">$B$7*(COS(RADIANS(140)))</f>
        <v>-7.66044443118978</v>
      </c>
      <c r="S45" s="30" t="n">
        <f aca="false">$B$7*(COS(RADIANS(150)))</f>
        <v>-8.66025403784439</v>
      </c>
      <c r="T45" s="30" t="n">
        <f aca="false">$B$7*(COS(RADIANS(160)))</f>
        <v>-9.39692620785908</v>
      </c>
      <c r="U45" s="30" t="n">
        <f aca="false">$B$7*(COS(RADIANS(170)))</f>
        <v>-9.84807753012208</v>
      </c>
      <c r="V45" s="42" t="n">
        <f aca="false">$B$7*(COS(RADIANS(180)))</f>
        <v>-10</v>
      </c>
    </row>
    <row r="46" customFormat="false" ht="12" hidden="false" customHeight="false" outlineLevel="0" collapsed="false">
      <c r="B46" s="8" t="s">
        <v>6</v>
      </c>
      <c r="C46" s="8"/>
      <c r="D46" s="30" t="n">
        <f aca="false">$B$7*(SIN(RADIANS(0)))+$B$7</f>
        <v>10</v>
      </c>
      <c r="E46" s="30" t="n">
        <f aca="false">$B$7*(SIN(RADIANS(10)))+$B$7</f>
        <v>11.7364817766693</v>
      </c>
      <c r="F46" s="30" t="n">
        <f aca="false">$B$7*(SIN(RADIANS(20)))+$B$7</f>
        <v>13.4202014332567</v>
      </c>
      <c r="G46" s="30" t="n">
        <f aca="false">$B$7*(SIN(RADIANS(30)))+$B$7</f>
        <v>15</v>
      </c>
      <c r="H46" s="30" t="n">
        <f aca="false">$B$7*(SIN(RADIANS(40)))+$B$7</f>
        <v>16.4278760968654</v>
      </c>
      <c r="I46" s="30" t="n">
        <f aca="false">$B$7*(SIN(RADIANS(50)))+$B$7</f>
        <v>17.6604444311898</v>
      </c>
      <c r="J46" s="30" t="n">
        <f aca="false">$B$7*(SIN(RADIANS(60)))+$B$7</f>
        <v>18.6602540378444</v>
      </c>
      <c r="K46" s="30" t="n">
        <f aca="false">$B$7*(SIN(RADIANS(70)))+$B$7</f>
        <v>19.3969262078591</v>
      </c>
      <c r="L46" s="30" t="n">
        <f aca="false">$B$7*(SIN(RADIANS(80)))+$B$7</f>
        <v>19.8480775301221</v>
      </c>
      <c r="M46" s="30" t="n">
        <f aca="false">$B$7*(SIN(RADIANS(90)))+$B$7</f>
        <v>20</v>
      </c>
      <c r="N46" s="30" t="n">
        <f aca="false">$B$7*(SIN(RADIANS(100)))+$B$7</f>
        <v>19.8480775301221</v>
      </c>
      <c r="O46" s="30" t="n">
        <f aca="false">$B$7*(SIN(RADIANS(110)))+$B$7</f>
        <v>19.3969262078591</v>
      </c>
      <c r="P46" s="30" t="n">
        <f aca="false">$B$7*(SIN(RADIANS(120)))+$B$7</f>
        <v>18.6602540378444</v>
      </c>
      <c r="Q46" s="30" t="n">
        <f aca="false">$B$7*(SIN(RADIANS(130)))+$B$7</f>
        <v>17.6604444311898</v>
      </c>
      <c r="R46" s="30" t="n">
        <f aca="false">$B$7*(SIN(RADIANS(140)))+$B$7</f>
        <v>16.4278760968654</v>
      </c>
      <c r="S46" s="30" t="n">
        <f aca="false">$B$7*(SIN(RADIANS(150)))+$B$7</f>
        <v>15</v>
      </c>
      <c r="T46" s="30" t="n">
        <f aca="false">$B$7*(SIN(RADIANS(160)))+$B$7</f>
        <v>13.4202014332567</v>
      </c>
      <c r="U46" s="30" t="n">
        <f aca="false">$B$7*(SIN(RADIANS(170)))+$B$7</f>
        <v>11.7364817766693</v>
      </c>
      <c r="V46" s="42" t="n">
        <f aca="false">$B$7*(SIN(RADIANS(180)))+$B$7</f>
        <v>10</v>
      </c>
    </row>
    <row r="48" customFormat="false" ht="12" hidden="false" customHeight="false" outlineLevel="0" collapsed="false">
      <c r="B48" s="8" t="s">
        <v>30</v>
      </c>
      <c r="C48" s="8"/>
      <c r="D48" s="44" t="s">
        <v>67</v>
      </c>
      <c r="E48" s="44" t="s">
        <v>68</v>
      </c>
      <c r="F48" s="44" t="s">
        <v>69</v>
      </c>
      <c r="G48" s="44" t="s">
        <v>70</v>
      </c>
      <c r="H48" s="44" t="s">
        <v>71</v>
      </c>
      <c r="I48" s="44" t="s">
        <v>72</v>
      </c>
      <c r="J48" s="44" t="s">
        <v>73</v>
      </c>
      <c r="K48" s="44" t="s">
        <v>74</v>
      </c>
      <c r="L48" s="44" t="s">
        <v>75</v>
      </c>
      <c r="M48" s="44" t="s">
        <v>76</v>
      </c>
      <c r="N48" s="44" t="s">
        <v>77</v>
      </c>
      <c r="O48" s="44" t="s">
        <v>78</v>
      </c>
      <c r="P48" s="44" t="s">
        <v>79</v>
      </c>
      <c r="Q48" s="44" t="s">
        <v>80</v>
      </c>
      <c r="R48" s="44" t="s">
        <v>81</v>
      </c>
      <c r="S48" s="44" t="s">
        <v>82</v>
      </c>
      <c r="T48" s="44" t="s">
        <v>83</v>
      </c>
      <c r="U48" s="44" t="s">
        <v>84</v>
      </c>
    </row>
    <row r="49" customFormat="false" ht="12" hidden="false" customHeight="false" outlineLevel="0" collapsed="false">
      <c r="B49" s="8" t="s">
        <v>48</v>
      </c>
      <c r="C49" s="8"/>
      <c r="D49" s="44" t="s">
        <v>85</v>
      </c>
      <c r="E49" s="44" t="s">
        <v>86</v>
      </c>
      <c r="F49" s="44" t="s">
        <v>87</v>
      </c>
      <c r="G49" s="44" t="s">
        <v>88</v>
      </c>
      <c r="H49" s="44" t="s">
        <v>89</v>
      </c>
      <c r="I49" s="44" t="s">
        <v>90</v>
      </c>
      <c r="J49" s="44" t="s">
        <v>91</v>
      </c>
      <c r="K49" s="44" t="s">
        <v>92</v>
      </c>
      <c r="L49" s="44" t="s">
        <v>93</v>
      </c>
      <c r="M49" s="44" t="s">
        <v>94</v>
      </c>
      <c r="N49" s="44" t="s">
        <v>95</v>
      </c>
      <c r="O49" s="44" t="s">
        <v>96</v>
      </c>
      <c r="P49" s="44" t="s">
        <v>97</v>
      </c>
      <c r="Q49" s="44" t="s">
        <v>98</v>
      </c>
      <c r="R49" s="44" t="s">
        <v>99</v>
      </c>
      <c r="S49" s="44" t="s">
        <v>100</v>
      </c>
      <c r="T49" s="44" t="s">
        <v>101</v>
      </c>
      <c r="U49" s="44" t="s">
        <v>102</v>
      </c>
    </row>
    <row r="50" customFormat="false" ht="12" hidden="false" customHeight="false" outlineLevel="0" collapsed="false">
      <c r="B50" s="8" t="s">
        <v>5</v>
      </c>
      <c r="C50" s="8"/>
      <c r="D50" s="30" t="n">
        <f aca="false">$B$7*(COS(RADIANS(180)))</f>
        <v>-10</v>
      </c>
      <c r="E50" s="30" t="n">
        <f aca="false">$B$7*(COS(RADIANS(190)))</f>
        <v>-9.84807753012208</v>
      </c>
      <c r="F50" s="30" t="n">
        <f aca="false">$B$7*(COS(RADIANS(200)))</f>
        <v>-9.39692620785909</v>
      </c>
      <c r="G50" s="30" t="n">
        <f aca="false">$B$7*(COS(RADIANS(210)))</f>
        <v>-8.66025403784439</v>
      </c>
      <c r="H50" s="30" t="n">
        <f aca="false">$B$7*(COS(RADIANS(220)))</f>
        <v>-7.66044443118978</v>
      </c>
      <c r="I50" s="30" t="n">
        <f aca="false">$B$7*(COS(RADIANS(230)))</f>
        <v>-6.4278760968654</v>
      </c>
      <c r="J50" s="30" t="n">
        <f aca="false">$B$7*(COS(RADIANS(240)))</f>
        <v>-5</v>
      </c>
      <c r="K50" s="30" t="n">
        <f aca="false">$B$7*(COS(RADIANS(250)))</f>
        <v>-3.42020143325669</v>
      </c>
      <c r="L50" s="30" t="n">
        <f aca="false">$B$7*(COS(RADIANS(260)))</f>
        <v>-1.7364817766693</v>
      </c>
      <c r="M50" s="30" t="n">
        <f aca="false">$B$7*(COS(RADIANS(270)))</f>
        <v>-1.83697019872103E-015</v>
      </c>
      <c r="N50" s="30" t="n">
        <f aca="false">$B$7*(COS(RADIANS(280)))</f>
        <v>1.7364817766693</v>
      </c>
      <c r="O50" s="30" t="n">
        <f aca="false">$B$7*(COS(RADIANS(290)))</f>
        <v>3.42020143325669</v>
      </c>
      <c r="P50" s="30" t="n">
        <f aca="false">$B$7*(COS(RADIANS(300)))</f>
        <v>5</v>
      </c>
      <c r="Q50" s="30" t="n">
        <f aca="false">$B$7*(COS(RADIANS(310)))</f>
        <v>6.42787609686539</v>
      </c>
      <c r="R50" s="30" t="n">
        <f aca="false">$B$7*(COS(RADIANS(320)))</f>
        <v>7.66044443118978</v>
      </c>
      <c r="S50" s="30" t="n">
        <f aca="false">$B$7*(COS(RADIANS(330)))</f>
        <v>8.66025403784438</v>
      </c>
      <c r="T50" s="30" t="n">
        <f aca="false">$B$7*(COS(RADIANS(340)))</f>
        <v>9.39692620785909</v>
      </c>
      <c r="U50" s="30" t="n">
        <f aca="false">$B$7*(COS(RADIANS(350)))</f>
        <v>9.84807753012208</v>
      </c>
      <c r="V50" s="42" t="n">
        <f aca="false">$B$7*(COS(RADIANS(360)))</f>
        <v>10</v>
      </c>
    </row>
    <row r="51" customFormat="false" ht="12" hidden="false" customHeight="false" outlineLevel="0" collapsed="false">
      <c r="B51" s="8" t="s">
        <v>6</v>
      </c>
      <c r="C51" s="8"/>
      <c r="D51" s="30" t="n">
        <f aca="false">$B$7*(SIN(RADIANS(180)))+$B$7</f>
        <v>10</v>
      </c>
      <c r="E51" s="30" t="n">
        <f aca="false">$B$7*(SIN(RADIANS(190)))+$B$7</f>
        <v>8.2635182233307</v>
      </c>
      <c r="F51" s="30" t="n">
        <f aca="false">$B$7*(SIN(RADIANS(200)))+$B$7</f>
        <v>6.57979856674331</v>
      </c>
      <c r="G51" s="30" t="n">
        <f aca="false">$B$7*(SIN(RADIANS(210)))+$B$7</f>
        <v>5</v>
      </c>
      <c r="H51" s="30" t="n">
        <f aca="false">$B$7*(SIN(RADIANS(220)))+$B$7</f>
        <v>3.57212390313461</v>
      </c>
      <c r="I51" s="30" t="n">
        <f aca="false">$B$7*(SIN(RADIANS(230)))+$B$7</f>
        <v>2.33955556881022</v>
      </c>
      <c r="J51" s="30" t="n">
        <f aca="false">$B$7*(SIN(RADIANS(240)))+$B$7</f>
        <v>1.33974596215562</v>
      </c>
      <c r="K51" s="30" t="n">
        <f aca="false">$B$7*(SIN(RADIANS(250)))+$B$7</f>
        <v>0.603073792140915</v>
      </c>
      <c r="L51" s="30" t="n">
        <f aca="false">$B$7*(SIN(RADIANS(260)))+$B$7</f>
        <v>0.15192246987792</v>
      </c>
      <c r="M51" s="30" t="n">
        <f aca="false">$B$7*(SIN(RADIANS(270)))+$B$7</f>
        <v>0</v>
      </c>
      <c r="N51" s="30" t="n">
        <f aca="false">$B$7*(SIN(RADIANS(280)))+$B$7</f>
        <v>0.151922469877919</v>
      </c>
      <c r="O51" s="30" t="n">
        <f aca="false">$B$7*(SIN(RADIANS(290)))+$B$7</f>
        <v>0.603073792140917</v>
      </c>
      <c r="P51" s="30" t="n">
        <f aca="false">$B$7*(SIN(RADIANS(300)))+$B$7</f>
        <v>1.33974596215561</v>
      </c>
      <c r="Q51" s="30" t="n">
        <f aca="false">$B$7*(SIN(RADIANS(310)))+$B$7</f>
        <v>2.33955556881022</v>
      </c>
      <c r="R51" s="30" t="n">
        <f aca="false">$B$7*(SIN(RADIANS(320)))+$B$7</f>
        <v>3.5721239031346</v>
      </c>
      <c r="S51" s="30" t="n">
        <f aca="false">$B$7*(SIN(RADIANS(330)))+$B$7</f>
        <v>5</v>
      </c>
      <c r="T51" s="30" t="n">
        <f aca="false">$B$7*(SIN(RADIANS(340)))+$B$7</f>
        <v>6.57979856674331</v>
      </c>
      <c r="U51" s="30" t="n">
        <f aca="false">$B$7*(SIN(RADIANS(350)))+$B$7</f>
        <v>8.2635182233307</v>
      </c>
      <c r="V51" s="42" t="n">
        <f aca="false">$B$7*(SIN(RADIANS(360)))+$B$7</f>
        <v>10</v>
      </c>
    </row>
  </sheetData>
  <mergeCells count="24">
    <mergeCell ref="B23:C23"/>
    <mergeCell ref="B24:C24"/>
    <mergeCell ref="B25:C25"/>
    <mergeCell ref="B26:C26"/>
    <mergeCell ref="B28:C28"/>
    <mergeCell ref="B29:C29"/>
    <mergeCell ref="B30:C30"/>
    <mergeCell ref="B31:C31"/>
    <mergeCell ref="B33:C33"/>
    <mergeCell ref="B34:C34"/>
    <mergeCell ref="B35:C35"/>
    <mergeCell ref="B36:C36"/>
    <mergeCell ref="B38:C38"/>
    <mergeCell ref="B39:C39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1:C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1:V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0" width="10.1396396396396"/>
  </cols>
  <sheetData>
    <row r="1" customFormat="false" ht="12.8" hidden="false" customHeight="false" outlineLevel="0" collapsed="false"/>
    <row r="2" customFormat="false" ht="20.1" hidden="false" customHeight="false" outlineLevel="0" collapsed="false">
      <c r="B2" s="1" t="s">
        <v>183</v>
      </c>
    </row>
    <row r="4" customFormat="false" ht="12.8" hidden="false" customHeight="false" outlineLevel="0" collapsed="false">
      <c r="B4" s="0" t="s">
        <v>184</v>
      </c>
    </row>
    <row r="5" customFormat="false" ht="12.8" hidden="false" customHeight="false" outlineLevel="0" collapsed="false">
      <c r="B5" s="8" t="s">
        <v>185</v>
      </c>
      <c r="C5" s="31" t="s">
        <v>186</v>
      </c>
      <c r="D5" s="3" t="s">
        <v>181</v>
      </c>
    </row>
    <row r="6" customFormat="false" ht="12.8" hidden="false" customHeight="false" outlineLevel="0" collapsed="false">
      <c r="B6" s="11" t="s">
        <v>187</v>
      </c>
      <c r="C6" s="45" t="s">
        <v>188</v>
      </c>
      <c r="D6" s="3" t="s">
        <v>182</v>
      </c>
    </row>
    <row r="7" customFormat="false" ht="12.8" hidden="false" customHeight="false" outlineLevel="0" collapsed="false">
      <c r="B7" s="9" t="n">
        <v>20</v>
      </c>
      <c r="C7" s="6" t="n">
        <v>8</v>
      </c>
      <c r="D7" s="7" t="n">
        <v>8</v>
      </c>
    </row>
    <row r="9" customFormat="false" ht="15" hidden="false" customHeight="false" outlineLevel="0" collapsed="false">
      <c r="B9" s="10" t="s">
        <v>8</v>
      </c>
    </row>
    <row r="16" customFormat="false" ht="12.8" hidden="false" customHeight="false" outlineLevel="0" collapsed="false"/>
    <row r="21" customFormat="false" ht="12" hidden="false" customHeight="false" outlineLevel="0" collapsed="false">
      <c r="B21" s="0" t="s">
        <v>10</v>
      </c>
    </row>
    <row r="23" customFormat="false" ht="12" hidden="false" customHeight="false" outlineLevel="0" collapsed="false">
      <c r="B23" s="23" t="s">
        <v>30</v>
      </c>
      <c r="C23" s="23"/>
      <c r="D23" s="41" t="n">
        <v>0</v>
      </c>
      <c r="E23" s="41" t="s">
        <v>31</v>
      </c>
      <c r="F23" s="23" t="s">
        <v>32</v>
      </c>
      <c r="G23" s="23" t="s">
        <v>33</v>
      </c>
      <c r="H23" s="23" t="s">
        <v>34</v>
      </c>
      <c r="I23" s="23" t="s">
        <v>35</v>
      </c>
      <c r="J23" s="41" t="s">
        <v>36</v>
      </c>
      <c r="K23" s="41" t="s">
        <v>37</v>
      </c>
      <c r="L23" s="41" t="s">
        <v>38</v>
      </c>
      <c r="M23" s="41" t="s">
        <v>39</v>
      </c>
      <c r="N23" s="41" t="s">
        <v>40</v>
      </c>
      <c r="O23" s="41" t="s">
        <v>41</v>
      </c>
      <c r="P23" s="41" t="s">
        <v>42</v>
      </c>
      <c r="Q23" s="41" t="s">
        <v>43</v>
      </c>
      <c r="R23" s="41" t="s">
        <v>44</v>
      </c>
      <c r="S23" s="41" t="s">
        <v>45</v>
      </c>
      <c r="T23" s="41" t="s">
        <v>46</v>
      </c>
      <c r="U23" s="41" t="s">
        <v>47</v>
      </c>
    </row>
    <row r="24" customFormat="false" ht="12" hidden="false" customHeight="false" outlineLevel="0" collapsed="false">
      <c r="B24" s="23" t="s">
        <v>48</v>
      </c>
      <c r="C24" s="23"/>
      <c r="D24" s="41" t="s">
        <v>49</v>
      </c>
      <c r="E24" s="23" t="s">
        <v>50</v>
      </c>
      <c r="F24" s="23" t="s">
        <v>51</v>
      </c>
      <c r="G24" s="23" t="s">
        <v>52</v>
      </c>
      <c r="H24" s="23" t="s">
        <v>53</v>
      </c>
      <c r="I24" s="23" t="s">
        <v>54</v>
      </c>
      <c r="J24" s="23" t="s">
        <v>55</v>
      </c>
      <c r="K24" s="41" t="s">
        <v>56</v>
      </c>
      <c r="L24" s="41" t="s">
        <v>57</v>
      </c>
      <c r="M24" s="41" t="s">
        <v>58</v>
      </c>
      <c r="N24" s="41" t="s">
        <v>59</v>
      </c>
      <c r="O24" s="41" t="s">
        <v>60</v>
      </c>
      <c r="P24" s="41" t="s">
        <v>61</v>
      </c>
      <c r="Q24" s="41" t="s">
        <v>62</v>
      </c>
      <c r="R24" s="41" t="s">
        <v>63</v>
      </c>
      <c r="S24" s="41" t="s">
        <v>64</v>
      </c>
      <c r="T24" s="41" t="s">
        <v>65</v>
      </c>
      <c r="U24" s="41" t="s">
        <v>66</v>
      </c>
    </row>
    <row r="25" customFormat="false" ht="12" hidden="false" customHeight="false" outlineLevel="0" collapsed="false">
      <c r="B25" s="23" t="s">
        <v>5</v>
      </c>
      <c r="C25" s="23"/>
      <c r="D25" s="17" t="n">
        <f aca="false">($B$7+$C$7)*COS(RADIANS(0))-$D$7*COS(($B$7+$C$7)/$C$7*RADIANS(0))</f>
        <v>20</v>
      </c>
      <c r="E25" s="17" t="n">
        <f aca="false">($B$7+$C$7)*COS(RADIANS(10))-$D$7*COS(($B$7+$C$7)/$C$7*RADIANS(10))</f>
        <v>21.0214007300299</v>
      </c>
      <c r="F25" s="17" t="n">
        <f aca="false">($B$7+$C$7)*COS(RADIANS(20))-$D$7*COS(($B$7+$C$7)/$C$7*RADIANS(20))</f>
        <v>23.5752322354001</v>
      </c>
      <c r="G25" s="17" t="n">
        <f aca="false">($B$7+$C$7)*COS(RADIANS(30))-$D$7*COS(($B$7+$C$7)/$C$7*RADIANS(30))</f>
        <v>26.3192636667844</v>
      </c>
      <c r="H25" s="17" t="n">
        <f aca="false">($B$7+$C$7)*COS(RADIANS(40))-$D$7*COS(($B$7+$C$7)/$C$7*RADIANS(40))</f>
        <v>27.5775999522832</v>
      </c>
      <c r="I25" s="17" t="n">
        <f aca="false">($B$7+$C$7)*COS(RADIANS(50))-$D$7*COS(($B$7+$C$7)/$C$7*RADIANS(50))</f>
        <v>25.9676106559571</v>
      </c>
      <c r="J25" s="17" t="n">
        <f aca="false">($B$7+$C$7)*COS(RADIANS(60))-$D$7*COS(($B$7+$C$7)/$C$7*RADIANS(60))</f>
        <v>20.9282032302755</v>
      </c>
      <c r="K25" s="17" t="n">
        <f aca="false">($B$7+$C$7)*COS(RADIANS(70))-$D$7*COS(($B$7+$C$7)/$C$7*RADIANS(70))</f>
        <v>12.9575101070443</v>
      </c>
      <c r="L25" s="17" t="n">
        <f aca="false">($B$7+$C$7)*COS(RADIANS(80))-$D$7*COS(($B$7+$C$7)/$C$7*RADIANS(80))</f>
        <v>3.47296355333861</v>
      </c>
      <c r="M25" s="17" t="n">
        <f aca="false">($B$7+$C$7)*COS(RADIANS(90))-$D$7*COS(($B$7+$C$7)/$C$7*RADIANS(90))</f>
        <v>-5.65685424949238</v>
      </c>
      <c r="N25" s="17" t="n">
        <f aca="false">($B$7+$C$7)*COS(RADIANS(100))-$D$7*COS(($B$7+$C$7)/$C$7*RADIANS(100))</f>
        <v>-12.7406109987717</v>
      </c>
      <c r="O25" s="17" t="n">
        <f aca="false">($B$7+$C$7)*COS(RADIANS(110))-$D$7*COS(($B$7+$C$7)/$C$7*RADIANS(110))</f>
        <v>-16.8270263094119</v>
      </c>
      <c r="P25" s="17" t="n">
        <f aca="false">($B$7+$C$7)*COS(RADIANS(120))-$D$7*COS(($B$7+$C$7)/$C$7*RADIANS(120))</f>
        <v>-18</v>
      </c>
      <c r="Q25" s="17" t="n">
        <f aca="false">($B$7+$C$7)*COS(RADIANS(130))-$D$7*COS(($B$7+$C$7)/$C$7*RADIANS(130))</f>
        <v>-17.3008071292418</v>
      </c>
      <c r="R25" s="17" t="n">
        <f aca="false">($B$7+$C$7)*COS(RADIANS(140))-$D$7*COS(($B$7+$C$7)/$C$7*RADIANS(140))</f>
        <v>-16.3069435298391</v>
      </c>
      <c r="S25" s="17" t="n">
        <f aca="false">($B$7+$C$7)*COS(RADIANS(150))-$D$7*COS(($B$7+$C$7)/$C$7*RADIANS(150))</f>
        <v>-16.5213046956517</v>
      </c>
      <c r="T25" s="17" t="n">
        <f aca="false">($B$7+$C$7)*COS(RADIANS(160))-$D$7*COS(($B$7+$C$7)/$C$7*RADIANS(160))</f>
        <v>-18.7938524157182</v>
      </c>
      <c r="U25" s="17" t="n">
        <f aca="false">($B$7+$C$7)*COS(RADIANS(170))-$D$7*COS(($B$7+$C$7)/$C$7*RADIANS(170))</f>
        <v>-22.9860055935335</v>
      </c>
      <c r="V25" s="42" t="n">
        <f aca="false">($B$7+$C$7)*COS(RADIANS(180))-$D$7*COS(($B$7+$C$7)/$C$7*RADIANS(180))</f>
        <v>-28</v>
      </c>
    </row>
    <row r="26" customFormat="false" ht="12" hidden="false" customHeight="false" outlineLevel="0" collapsed="false">
      <c r="B26" s="23" t="s">
        <v>6</v>
      </c>
      <c r="C26" s="23"/>
      <c r="D26" s="17" t="n">
        <f aca="false">($B$7+$C$7)*SIN(RADIANS(0))-$D$7*SIN(($B$7+$C$7)/$C$7*RADIANS(0))</f>
        <v>0</v>
      </c>
      <c r="E26" s="17" t="n">
        <f aca="false">($B$7+$C$7)*SIN(RADIANS(10))-$D$7*SIN(($B$7+$C$7)/$C$7*RADIANS(10))</f>
        <v>0.273537483865681</v>
      </c>
      <c r="F26" s="17" t="n">
        <f aca="false">($B$7+$C$7)*SIN(RADIANS(20))-$D$7*SIN(($B$7+$C$7)/$C$7*RADIANS(20))</f>
        <v>2.05902304683146</v>
      </c>
      <c r="G26" s="17" t="n">
        <f aca="false">($B$7+$C$7)*SIN(RADIANS(30))-$D$7*SIN(($B$7+$C$7)/$C$7*RADIANS(30))</f>
        <v>6.27259338968745</v>
      </c>
      <c r="H26" s="17" t="n">
        <f aca="false">($B$7+$C$7)*SIN(RADIANS(40))-$D$7*SIN(($B$7+$C$7)/$C$7*RADIANS(40))</f>
        <v>12.8557521937308</v>
      </c>
      <c r="I26" s="17" t="n">
        <f aca="false">($B$7+$C$7)*SIN(RADIANS(50))-$D$7*SIN(($B$7+$C$7)/$C$7*RADIANS(50))</f>
        <v>20.7519984653501</v>
      </c>
      <c r="J26" s="17" t="n">
        <f aca="false">($B$7+$C$7)*SIN(RADIANS(60))-$D$7*SIN(($B$7+$C$7)/$C$7*RADIANS(60))</f>
        <v>28.2487113059643</v>
      </c>
      <c r="K26" s="17" t="n">
        <f aca="false">($B$7+$C$7)*SIN(RADIANS(70))-$D$7*SIN(($B$7+$C$7)/$C$7*RADIANS(70))</f>
        <v>33.5618556782986</v>
      </c>
      <c r="L26" s="17" t="n">
        <f aca="false">($B$7+$C$7)*SIN(RADIANS(80))-$D$7*SIN(($B$7+$C$7)/$C$7*RADIANS(80))</f>
        <v>35.4530791084395</v>
      </c>
      <c r="M26" s="17" t="n">
        <f aca="false">($B$7+$C$7)*SIN(RADIANS(90))-$D$7*SIN(($B$7+$C$7)/$C$7*RADIANS(90))</f>
        <v>33.6568542494924</v>
      </c>
      <c r="N26" s="17" t="n">
        <f aca="false">($B$7+$C$7)*SIN(RADIANS(100))-$D$7*SIN(($B$7+$C$7)/$C$7*RADIANS(100))</f>
        <v>28.9638025056773</v>
      </c>
      <c r="O26" s="17" t="n">
        <f aca="false">($B$7+$C$7)*SIN(RADIANS(110))-$D$7*SIN(($B$7+$C$7)/$C$7*RADIANS(110))</f>
        <v>22.9304472880798</v>
      </c>
      <c r="P26" s="17" t="n">
        <f aca="false">($B$7+$C$7)*SIN(RADIANS(120))-$D$7*SIN(($B$7+$C$7)/$C$7*RADIANS(120))</f>
        <v>17.3205080756888</v>
      </c>
      <c r="Q26" s="17" t="n">
        <f aca="false">($B$7+$C$7)*SIN(RADIANS(130))-$D$7*SIN(($B$7+$C$7)/$C$7*RADIANS(130))</f>
        <v>13.4796868225974</v>
      </c>
      <c r="R26" s="17" t="n">
        <f aca="false">($B$7+$C$7)*SIN(RADIANS(140))-$D$7*SIN(($B$7+$C$7)/$C$7*RADIANS(140))</f>
        <v>11.8696975262713</v>
      </c>
      <c r="S26" s="17" t="n">
        <f aca="false">($B$7+$C$7)*SIN(RADIANS(150))-$D$7*SIN(($B$7+$C$7)/$C$7*RADIANS(150))</f>
        <v>11.9294476391798</v>
      </c>
      <c r="T26" s="17" t="n">
        <f aca="false">($B$7+$C$7)*SIN(RADIANS(160))-$D$7*SIN(($B$7+$C$7)/$C$7*RADIANS(160))</f>
        <v>12.3127251597241</v>
      </c>
      <c r="U26" s="17" t="n">
        <f aca="false">($B$7+$C$7)*SIN(RADIANS(170))-$D$7*SIN(($B$7+$C$7)/$C$7*RADIANS(170))</f>
        <v>11.415365328986</v>
      </c>
      <c r="V26" s="42" t="n">
        <f aca="false">($B$7+$C$7)*SIN(RADIANS(180))-$D$7*SIN(($B$7+$C$7)/$C$7*RADIANS(180))</f>
        <v>8</v>
      </c>
    </row>
    <row r="28" customFormat="false" ht="12" hidden="false" customHeight="false" outlineLevel="0" collapsed="false">
      <c r="B28" s="23" t="s">
        <v>30</v>
      </c>
      <c r="C28" s="23"/>
      <c r="D28" s="41" t="s">
        <v>67</v>
      </c>
      <c r="E28" s="41" t="s">
        <v>68</v>
      </c>
      <c r="F28" s="41" t="s">
        <v>69</v>
      </c>
      <c r="G28" s="41" t="s">
        <v>70</v>
      </c>
      <c r="H28" s="41" t="s">
        <v>71</v>
      </c>
      <c r="I28" s="41" t="n">
        <f aca="false">$B$7-$D$7*COS(RADIANS(180))</f>
        <v>28</v>
      </c>
      <c r="J28" s="41" t="s">
        <v>73</v>
      </c>
      <c r="K28" s="41" t="s">
        <v>74</v>
      </c>
      <c r="L28" s="41" t="s">
        <v>75</v>
      </c>
      <c r="M28" s="41" t="s">
        <v>76</v>
      </c>
      <c r="N28" s="41" t="s">
        <v>77</v>
      </c>
      <c r="O28" s="41" t="s">
        <v>78</v>
      </c>
      <c r="P28" s="41" t="s">
        <v>79</v>
      </c>
      <c r="Q28" s="41" t="s">
        <v>80</v>
      </c>
      <c r="R28" s="41" t="s">
        <v>81</v>
      </c>
      <c r="S28" s="41" t="s">
        <v>82</v>
      </c>
      <c r="T28" s="41" t="s">
        <v>83</v>
      </c>
      <c r="U28" s="41" t="s">
        <v>84</v>
      </c>
    </row>
    <row r="29" customFormat="false" ht="12" hidden="false" customHeight="false" outlineLevel="0" collapsed="false">
      <c r="B29" s="23" t="s">
        <v>48</v>
      </c>
      <c r="C29" s="23"/>
      <c r="D29" s="41" t="s">
        <v>85</v>
      </c>
      <c r="E29" s="41" t="s">
        <v>86</v>
      </c>
      <c r="F29" s="41" t="s">
        <v>87</v>
      </c>
      <c r="G29" s="41" t="s">
        <v>88</v>
      </c>
      <c r="H29" s="41" t="s">
        <v>89</v>
      </c>
      <c r="I29" s="41" t="s">
        <v>90</v>
      </c>
      <c r="J29" s="41" t="s">
        <v>91</v>
      </c>
      <c r="K29" s="41" t="s">
        <v>92</v>
      </c>
      <c r="L29" s="41" t="s">
        <v>93</v>
      </c>
      <c r="M29" s="41" t="s">
        <v>94</v>
      </c>
      <c r="N29" s="41" t="s">
        <v>95</v>
      </c>
      <c r="O29" s="41" t="s">
        <v>96</v>
      </c>
      <c r="P29" s="41" t="s">
        <v>97</v>
      </c>
      <c r="Q29" s="41" t="s">
        <v>98</v>
      </c>
      <c r="R29" s="41" t="s">
        <v>99</v>
      </c>
      <c r="S29" s="41" t="s">
        <v>100</v>
      </c>
      <c r="T29" s="41" t="s">
        <v>101</v>
      </c>
      <c r="U29" s="41" t="s">
        <v>102</v>
      </c>
    </row>
    <row r="30" customFormat="false" ht="12" hidden="false" customHeight="false" outlineLevel="0" collapsed="false">
      <c r="B30" s="23" t="s">
        <v>5</v>
      </c>
      <c r="C30" s="23"/>
      <c r="D30" s="17" t="n">
        <f aca="false">($B$7+$C$7)*COS(RADIANS(180))-$D$7*COS(($B$7+$C$7)/$C$7*RADIANS(180))</f>
        <v>-28</v>
      </c>
      <c r="E30" s="17" t="n">
        <f aca="false">($B$7+$C$7)*COS(RADIANS(190))-$D$7*COS(($B$7+$C$7)/$C$7*RADIANS(190))</f>
        <v>-32.1632285751502</v>
      </c>
      <c r="F30" s="17" t="n">
        <f aca="false">($B$7+$C$7)*COS(RADIANS(200))-$D$7*COS(($B$7+$C$7)/$C$7*RADIANS(200))</f>
        <v>-33.8289343482927</v>
      </c>
      <c r="G30" s="17" t="n">
        <f aca="false">($B$7+$C$7)*COS(RADIANS(210))-$D$7*COS(($B$7+$C$7)/$C$7*RADIANS(210))</f>
        <v>-31.9761179162768</v>
      </c>
      <c r="H30" s="17" t="n">
        <f aca="false">($B$7+$C$7)*COS(RADIANS(220))-$D$7*COS(($B$7+$C$7)/$C$7*RADIANS(220))</f>
        <v>-26.5915452848237</v>
      </c>
      <c r="I30" s="17" t="n">
        <f aca="false">($B$7+$C$7)*COS(RADIANS(230))-$D$7*COS(($B$7+$C$7)/$C$7*RADIANS(230))</f>
        <v>-18.6952990132044</v>
      </c>
      <c r="J30" s="17" t="n">
        <f aca="false">($B$7+$C$7)*COS(RADIANS(240))-$D$7*COS(($B$7+$C$7)/$C$7*RADIANS(240))</f>
        <v>-10</v>
      </c>
      <c r="K30" s="17" t="n">
        <f aca="false">($B$7+$C$7)*COS(RADIANS(250))-$D$7*COS(($B$7+$C$7)/$C$7*RADIANS(250))</f>
        <v>-2.32610171682551</v>
      </c>
      <c r="L30" s="17" t="n">
        <f aca="false">($B$7+$C$7)*COS(RADIANS(260))-$D$7*COS(($B$7+$C$7)/$C$7*RADIANS(260))</f>
        <v>3.01631304942362</v>
      </c>
      <c r="M30" s="17" t="n">
        <f aca="false">($B$7+$C$7)*COS(RADIANS(270))-$D$7*COS(($B$7+$C$7)/$C$7*RADIANS(270))</f>
        <v>5.65685424949237</v>
      </c>
      <c r="N30" s="17" t="n">
        <f aca="false">($B$7+$C$7)*COS(RADIANS(280))-$D$7*COS(($B$7+$C$7)/$C$7*RADIANS(280))</f>
        <v>6.2513343960095</v>
      </c>
      <c r="O30" s="17" t="n">
        <f aca="false">($B$7+$C$7)*COS(RADIANS(290))-$D$7*COS(($B$7+$C$7)/$C$7*RADIANS(290))</f>
        <v>6.19561791919312</v>
      </c>
      <c r="P30" s="17" t="n">
        <f aca="false">($B$7+$C$7)*COS(RADIANS(300))-$D$7*COS(($B$7+$C$7)/$C$7*RADIANS(300))</f>
        <v>7.0717967697245</v>
      </c>
      <c r="Q30" s="17" t="n">
        <f aca="false">($B$7+$C$7)*COS(RADIANS(310))-$D$7*COS(($B$7+$C$7)/$C$7*RADIANS(310))</f>
        <v>10.0284954864891</v>
      </c>
      <c r="R30" s="17" t="n">
        <f aca="false">($B$7+$C$7)*COS(RADIANS(320))-$D$7*COS(($B$7+$C$7)/$C$7*RADIANS(320))</f>
        <v>15.3208888623795</v>
      </c>
      <c r="S30" s="17" t="n">
        <f aca="false">($B$7+$C$7)*COS(RADIANS(330))-$D$7*COS(($B$7+$C$7)/$C$7*RADIANS(330))</f>
        <v>22.1781589451441</v>
      </c>
      <c r="T30" s="17" t="n">
        <f aca="false">($B$7+$C$7)*COS(RADIANS(340))-$D$7*COS(($B$7+$C$7)/$C$7*RADIANS(340))</f>
        <v>29.0475545286108</v>
      </c>
      <c r="U30" s="17" t="n">
        <f aca="false">($B$7+$C$7)*COS(RADIANS(350))-$D$7*COS(($B$7+$C$7)/$C$7*RADIANS(350))</f>
        <v>34.1278334386538</v>
      </c>
      <c r="V30" s="42" t="n">
        <f aca="false">($B$7+$C$7)*COS(RADIANS(360))-$D$7*COS(($B$7+$C$7)/$C$7*RADIANS(360))</f>
        <v>36</v>
      </c>
    </row>
    <row r="31" customFormat="false" ht="12" hidden="false" customHeight="false" outlineLevel="0" collapsed="false">
      <c r="B31" s="23" t="s">
        <v>6</v>
      </c>
      <c r="C31" s="23"/>
      <c r="D31" s="17" t="n">
        <f aca="false">($B$7+$C$7)*SIN(RADIANS(180))-$D$7*SIN(($B$7+$C$7)/$C$7*RADIANS(180))</f>
        <v>8</v>
      </c>
      <c r="E31" s="17" t="n">
        <f aca="false">($B$7+$C$7)*SIN(RADIANS(190))-$D$7*SIN(($B$7+$C$7)/$C$7*RADIANS(190))</f>
        <v>1.69106737963788</v>
      </c>
      <c r="F31" s="17" t="n">
        <f aca="false">($B$7+$C$7)*SIN(RADIANS(200))-$D$7*SIN(($B$7+$C$7)/$C$7*RADIANS(200))</f>
        <v>-6.84040286651337</v>
      </c>
      <c r="G31" s="17" t="n">
        <f aca="false">($B$7+$C$7)*SIN(RADIANS(210))-$D$7*SIN(($B$7+$C$7)/$C$7*RADIANS(210))</f>
        <v>-16.0705523608202</v>
      </c>
      <c r="H31" s="17" t="n">
        <f aca="false">($B$7+$C$7)*SIN(RADIANS(220))-$D$7*SIN(($B$7+$C$7)/$C$7*RADIANS(220))</f>
        <v>-24.1264086161749</v>
      </c>
      <c r="I31" s="17" t="n">
        <f aca="false">($B$7+$C$7)*SIN(RADIANS(230))-$D$7*SIN(($B$7+$C$7)/$C$7*RADIANS(230))</f>
        <v>-29.4188019920653</v>
      </c>
      <c r="J31" s="17" t="n">
        <f aca="false">($B$7+$C$7)*SIN(RADIANS(240))-$D$7*SIN(($B$7+$C$7)/$C$7*RADIANS(240))</f>
        <v>-31.1769145362398</v>
      </c>
      <c r="K31" s="17" t="n">
        <f aca="false">($B$7+$C$7)*SIN(RADIANS(250))-$D$7*SIN(($B$7+$C$7)/$C$7*RADIANS(250))</f>
        <v>-29.692339475931</v>
      </c>
      <c r="L31" s="17" t="n">
        <f aca="false">($B$7+$C$7)*SIN(RADIANS(260))-$D$7*SIN(($B$7+$C$7)/$C$7*RADIANS(260))</f>
        <v>-26.1854316630064</v>
      </c>
      <c r="M31" s="17" t="n">
        <f aca="false">($B$7+$C$7)*SIN(RADIANS(270))-$D$7*SIN(($B$7+$C$7)/$C$7*RADIANS(270))</f>
        <v>-22.3431457505076</v>
      </c>
      <c r="N31" s="17" t="n">
        <f aca="false">($B$7+$C$7)*SIN(RADIANS(280))-$D$7*SIN(($B$7+$C$7)/$C$7*RADIANS(280))</f>
        <v>-19.6961550602442</v>
      </c>
      <c r="O31" s="17" t="n">
        <f aca="false">($B$7+$C$7)*SIN(RADIANS(290))-$D$7*SIN(($B$7+$C$7)/$C$7*RADIANS(290))</f>
        <v>-19.0609310857122</v>
      </c>
      <c r="P31" s="17" t="n">
        <f aca="false">($B$7+$C$7)*SIN(RADIANS(300))-$D$7*SIN(($B$7+$C$7)/$C$7*RADIANS(300))</f>
        <v>-20.2487113059643</v>
      </c>
      <c r="Q31" s="17" t="n">
        <f aca="false">($B$7+$C$7)*SIN(RADIANS(310))-$D$7*SIN(($B$7+$C$7)/$C$7*RADIANS(310))</f>
        <v>-22.1464903493127</v>
      </c>
      <c r="R31" s="17" t="n">
        <f aca="false">($B$7+$C$7)*SIN(RADIANS(320))-$D$7*SIN(($B$7+$C$7)/$C$7*RADIANS(320))</f>
        <v>-23.1403539487154</v>
      </c>
      <c r="S31" s="17" t="n">
        <f aca="false">($B$7+$C$7)*SIN(RADIANS(330))-$D$7*SIN(($B$7+$C$7)/$C$7*RADIANS(330))</f>
        <v>-21.7274066103126</v>
      </c>
      <c r="T31" s="17" t="n">
        <f aca="false">($B$7+$C$7)*SIN(RADIANS(340))-$D$7*SIN(($B$7+$C$7)/$C$7*RADIANS(340))</f>
        <v>-17.094104979406</v>
      </c>
      <c r="U31" s="17" t="n">
        <f aca="false">($B$7+$C$7)*SIN(RADIANS(350))-$D$7*SIN(($B$7+$C$7)/$C$7*RADIANS(350))</f>
        <v>-9.45076046548241</v>
      </c>
      <c r="V31" s="42" t="n">
        <f aca="false">($B$7+$C$7)*SIN(RADIANS(360))-$D$7*SIN(($B$7+$C$7)/$C$7*RADIANS(360))</f>
        <v>-1.37160441504504E-014</v>
      </c>
    </row>
    <row r="33" customFormat="false" ht="12" hidden="false" customHeight="false" outlineLevel="0" collapsed="false">
      <c r="B33" s="23" t="s">
        <v>30</v>
      </c>
      <c r="C33" s="23"/>
      <c r="D33" s="41" t="s">
        <v>107</v>
      </c>
      <c r="E33" s="41" t="s">
        <v>108</v>
      </c>
      <c r="F33" s="23" t="s">
        <v>109</v>
      </c>
      <c r="G33" s="23" t="s">
        <v>110</v>
      </c>
      <c r="H33" s="23" t="s">
        <v>111</v>
      </c>
      <c r="I33" s="23" t="s">
        <v>112</v>
      </c>
      <c r="J33" s="41" t="s">
        <v>113</v>
      </c>
      <c r="K33" s="41" t="s">
        <v>114</v>
      </c>
      <c r="L33" s="41" t="s">
        <v>115</v>
      </c>
      <c r="M33" s="41" t="s">
        <v>116</v>
      </c>
      <c r="N33" s="41" t="s">
        <v>117</v>
      </c>
      <c r="O33" s="41" t="s">
        <v>118</v>
      </c>
      <c r="P33" s="41" t="s">
        <v>119</v>
      </c>
      <c r="Q33" s="41" t="s">
        <v>120</v>
      </c>
      <c r="R33" s="41" t="s">
        <v>121</v>
      </c>
      <c r="S33" s="41" t="s">
        <v>122</v>
      </c>
      <c r="T33" s="41" t="s">
        <v>123</v>
      </c>
      <c r="U33" s="41" t="s">
        <v>124</v>
      </c>
    </row>
    <row r="34" customFormat="false" ht="12" hidden="false" customHeight="false" outlineLevel="0" collapsed="false">
      <c r="B34" s="23" t="s">
        <v>48</v>
      </c>
      <c r="C34" s="23"/>
      <c r="D34" s="41" t="s">
        <v>125</v>
      </c>
      <c r="E34" s="23" t="s">
        <v>126</v>
      </c>
      <c r="F34" s="23" t="s">
        <v>127</v>
      </c>
      <c r="G34" s="23" t="s">
        <v>128</v>
      </c>
      <c r="H34" s="23" t="s">
        <v>129</v>
      </c>
      <c r="I34" s="23" t="s">
        <v>130</v>
      </c>
      <c r="J34" s="23" t="s">
        <v>131</v>
      </c>
      <c r="K34" s="41" t="s">
        <v>132</v>
      </c>
      <c r="L34" s="41" t="s">
        <v>133</v>
      </c>
      <c r="M34" s="41" t="s">
        <v>134</v>
      </c>
      <c r="N34" s="41" t="s">
        <v>135</v>
      </c>
      <c r="O34" s="41" t="s">
        <v>136</v>
      </c>
      <c r="P34" s="41" t="s">
        <v>137</v>
      </c>
      <c r="Q34" s="41" t="s">
        <v>138</v>
      </c>
      <c r="R34" s="41" t="s">
        <v>139</v>
      </c>
      <c r="S34" s="41" t="s">
        <v>140</v>
      </c>
      <c r="T34" s="41" t="s">
        <v>141</v>
      </c>
      <c r="U34" s="41" t="s">
        <v>142</v>
      </c>
    </row>
    <row r="35" customFormat="false" ht="12" hidden="false" customHeight="false" outlineLevel="0" collapsed="false">
      <c r="B35" s="23" t="s">
        <v>5</v>
      </c>
      <c r="C35" s="23"/>
      <c r="D35" s="17" t="n">
        <f aca="false">($B$7+$C$7)*COS(RADIANS(360))-$D$7*COS(($B$7+$C$7)/$C$7*RADIANS(360))</f>
        <v>36</v>
      </c>
      <c r="E35" s="17" t="n">
        <f aca="false">($B$7+$C$7)*COS(RADIANS(370))-$D$7*COS(($B$7+$C$7)/$C$7*RADIANS(370))</f>
        <v>34.1278334386538</v>
      </c>
      <c r="F35" s="17" t="n">
        <f aca="false">($B$7+$C$7)*COS(RADIANS(380))-$D$7*COS(($B$7+$C$7)/$C$7*RADIANS(380))</f>
        <v>29.0475545286108</v>
      </c>
      <c r="G35" s="17" t="n">
        <f aca="false">($B$7+$C$7)*COS(RADIANS(390))-$D$7*COS(($B$7+$C$7)/$C$7*RADIANS(390))</f>
        <v>22.1781589451441</v>
      </c>
      <c r="H35" s="17" t="n">
        <f aca="false">($B$7+$C$7)*COS(RADIANS(400))-$D$7*COS(($B$7+$C$7)/$C$7*RADIANS(400))</f>
        <v>15.3208888623796</v>
      </c>
      <c r="I35" s="17" t="n">
        <f aca="false">($B$7+$C$7)*COS(RADIANS(410))-$D$7*COS(($B$7+$C$7)/$C$7*RADIANS(410))</f>
        <v>10.0284954864891</v>
      </c>
      <c r="J35" s="17" t="n">
        <f aca="false">($B$7+$C$7)*COS(RADIANS(420))-$D$7*COS(($B$7+$C$7)/$C$7*RADIANS(420))</f>
        <v>7.07179676972449</v>
      </c>
      <c r="K35" s="17" t="n">
        <f aca="false">($B$7+$C$7)*COS(RADIANS(430))-$D$7*COS(($B$7+$C$7)/$C$7*RADIANS(430))</f>
        <v>6.19561791919312</v>
      </c>
      <c r="L35" s="17" t="n">
        <f aca="false">($B$7+$C$7)*COS(RADIANS(440))-$D$7*COS(($B$7+$C$7)/$C$7*RADIANS(440))</f>
        <v>6.2513343960095</v>
      </c>
      <c r="M35" s="17" t="n">
        <f aca="false">($B$7+$C$7)*COS(RADIANS(450))-$D$7*COS(($B$7+$C$7)/$C$7*RADIANS(450))</f>
        <v>5.65685424949238</v>
      </c>
      <c r="N35" s="17" t="n">
        <f aca="false">($B$7+$C$7)*COS(RADIANS(460))-$D$7*COS(($B$7+$C$7)/$C$7*RADIANS(460))</f>
        <v>3.01631304942363</v>
      </c>
      <c r="O35" s="17" t="n">
        <f aca="false">($B$7+$C$7)*COS(RADIANS(470))-$D$7*COS(($B$7+$C$7)/$C$7*RADIANS(470))</f>
        <v>-2.32610171682549</v>
      </c>
      <c r="P35" s="17" t="n">
        <f aca="false">($B$7+$C$7)*COS(RADIANS(480))-$D$7*COS(($B$7+$C$7)/$C$7*RADIANS(480))</f>
        <v>-9.99999999999996</v>
      </c>
      <c r="Q35" s="17" t="n">
        <f aca="false">($B$7+$C$7)*COS(RADIANS(490))-$D$7*COS(($B$7+$C$7)/$C$7*RADIANS(490))</f>
        <v>-18.6952990132044</v>
      </c>
      <c r="R35" s="17" t="n">
        <f aca="false">($B$7+$C$7)*COS(RADIANS(500))-$D$7*COS(($B$7+$C$7)/$C$7*RADIANS(500))</f>
        <v>-26.5915452848237</v>
      </c>
      <c r="S35" s="17" t="n">
        <f aca="false">($B$7+$C$7)*COS(RADIANS(510))-$D$7*COS(($B$7+$C$7)/$C$7*RADIANS(510))</f>
        <v>-31.9761179162768</v>
      </c>
      <c r="T35" s="17" t="n">
        <f aca="false">($B$7+$C$7)*COS(RADIANS(520))-$D$7*COS(($B$7+$C$7)/$C$7*RADIANS(520))</f>
        <v>-33.8289343482927</v>
      </c>
      <c r="U35" s="17" t="n">
        <f aca="false">($B$7+$C$7)*COS(RADIANS(530))-$D$7*COS(($B$7+$C$7)/$C$7*RADIANS(530))</f>
        <v>-32.1632285751502</v>
      </c>
      <c r="V35" s="42" t="n">
        <f aca="false">($B$7+$C$7)*COS(RADIANS(540))-$D$7*COS(($B$7+$C$7)/$C$7*RADIANS(540))</f>
        <v>-28</v>
      </c>
    </row>
    <row r="36" customFormat="false" ht="12" hidden="false" customHeight="false" outlineLevel="0" collapsed="false">
      <c r="B36" s="23" t="s">
        <v>6</v>
      </c>
      <c r="C36" s="23"/>
      <c r="D36" s="17" t="n">
        <f aca="false">($B$7+$C$7)*SIN(RADIANS(360))-$D$7*SIN(($B$7+$C$7)/$C$7*RADIANS(360))</f>
        <v>-1.37160441504504E-014</v>
      </c>
      <c r="E36" s="17" t="n">
        <f aca="false">($B$7+$C$7)*SIN(RADIANS(370))-$D$7*SIN(($B$7+$C$7)/$C$7*RADIANS(370))</f>
        <v>9.45076046548239</v>
      </c>
      <c r="F36" s="17" t="n">
        <f aca="false">($B$7+$C$7)*SIN(RADIANS(380))-$D$7*SIN(($B$7+$C$7)/$C$7*RADIANS(380))</f>
        <v>17.094104979406</v>
      </c>
      <c r="G36" s="17" t="n">
        <f aca="false">($B$7+$C$7)*SIN(RADIANS(390))-$D$7*SIN(($B$7+$C$7)/$C$7*RADIANS(390))</f>
        <v>21.7274066103125</v>
      </c>
      <c r="H36" s="17" t="n">
        <f aca="false">($B$7+$C$7)*SIN(RADIANS(400))-$D$7*SIN(($B$7+$C$7)/$C$7*RADIANS(400))</f>
        <v>23.1403539487154</v>
      </c>
      <c r="I36" s="17" t="n">
        <f aca="false">($B$7+$C$7)*SIN(RADIANS(410))-$D$7*SIN(($B$7+$C$7)/$C$7*RADIANS(410))</f>
        <v>22.1464903493127</v>
      </c>
      <c r="J36" s="17" t="n">
        <f aca="false">($B$7+$C$7)*SIN(RADIANS(420))-$D$7*SIN(($B$7+$C$7)/$C$7*RADIANS(420))</f>
        <v>20.2487113059643</v>
      </c>
      <c r="K36" s="17" t="n">
        <f aca="false">($B$7+$C$7)*SIN(RADIANS(430))-$D$7*SIN(($B$7+$C$7)/$C$7*RADIANS(430))</f>
        <v>19.0609310857122</v>
      </c>
      <c r="L36" s="17" t="n">
        <f aca="false">($B$7+$C$7)*SIN(RADIANS(440))-$D$7*SIN(($B$7+$C$7)/$C$7*RADIANS(440))</f>
        <v>19.6961550602442</v>
      </c>
      <c r="M36" s="17" t="n">
        <f aca="false">($B$7+$C$7)*SIN(RADIANS(450))-$D$7*SIN(($B$7+$C$7)/$C$7*RADIANS(450))</f>
        <v>22.3431457505076</v>
      </c>
      <c r="N36" s="17" t="n">
        <f aca="false">($B$7+$C$7)*SIN(RADIANS(460))-$D$7*SIN(($B$7+$C$7)/$C$7*RADIANS(460))</f>
        <v>26.1854316630064</v>
      </c>
      <c r="O36" s="17" t="n">
        <f aca="false">($B$7+$C$7)*SIN(RADIANS(470))-$D$7*SIN(($B$7+$C$7)/$C$7*RADIANS(470))</f>
        <v>29.692339475931</v>
      </c>
      <c r="P36" s="17" t="n">
        <f aca="false">($B$7+$C$7)*SIN(RADIANS(480))-$D$7*SIN(($B$7+$C$7)/$C$7*RADIANS(480))</f>
        <v>31.1769145362398</v>
      </c>
      <c r="Q36" s="17" t="n">
        <f aca="false">($B$7+$C$7)*SIN(RADIANS(490))-$D$7*SIN(($B$7+$C$7)/$C$7*RADIANS(490))</f>
        <v>29.4188019920653</v>
      </c>
      <c r="R36" s="17" t="n">
        <f aca="false">($B$7+$C$7)*SIN(RADIANS(500))-$D$7*SIN(($B$7+$C$7)/$C$7*RADIANS(500))</f>
        <v>24.1264086161749</v>
      </c>
      <c r="S36" s="17" t="n">
        <f aca="false">($B$7+$C$7)*SIN(RADIANS(510))-$D$7*SIN(($B$7+$C$7)/$C$7*RADIANS(510))</f>
        <v>16.0705523608202</v>
      </c>
      <c r="T36" s="17" t="n">
        <f aca="false">($B$7+$C$7)*SIN(RADIANS(520))-$D$7*SIN(($B$7+$C$7)/$C$7*RADIANS(520))</f>
        <v>6.84040286651339</v>
      </c>
      <c r="U36" s="17" t="n">
        <f aca="false">($B$7+$C$7)*SIN(RADIANS(530))-$D$7*SIN(($B$7+$C$7)/$C$7*RADIANS(530))</f>
        <v>-1.69106737963788</v>
      </c>
      <c r="V36" s="42" t="n">
        <f aca="false">($B$7+$C$7)*SIN(RADIANS(540))-$D$7*SIN(($B$7+$C$7)/$C$7*RADIANS(540))</f>
        <v>-7.99999999999999</v>
      </c>
    </row>
    <row r="38" customFormat="false" ht="12" hidden="false" customHeight="false" outlineLevel="0" collapsed="false">
      <c r="B38" s="23" t="s">
        <v>30</v>
      </c>
      <c r="C38" s="23"/>
      <c r="D38" s="41" t="s">
        <v>143</v>
      </c>
      <c r="E38" s="41" t="s">
        <v>144</v>
      </c>
      <c r="F38" s="41" t="s">
        <v>145</v>
      </c>
      <c r="G38" s="41" t="s">
        <v>146</v>
      </c>
      <c r="H38" s="41" t="s">
        <v>147</v>
      </c>
      <c r="I38" s="41" t="s">
        <v>148</v>
      </c>
      <c r="J38" s="41" t="s">
        <v>149</v>
      </c>
      <c r="K38" s="41" t="s">
        <v>150</v>
      </c>
      <c r="L38" s="41" t="s">
        <v>151</v>
      </c>
      <c r="M38" s="41" t="s">
        <v>152</v>
      </c>
      <c r="N38" s="41" t="s">
        <v>153</v>
      </c>
      <c r="O38" s="41" t="s">
        <v>154</v>
      </c>
      <c r="P38" s="41" t="s">
        <v>155</v>
      </c>
      <c r="Q38" s="41" t="s">
        <v>156</v>
      </c>
      <c r="R38" s="41" t="s">
        <v>157</v>
      </c>
      <c r="S38" s="41" t="s">
        <v>158</v>
      </c>
      <c r="T38" s="41" t="s">
        <v>159</v>
      </c>
      <c r="U38" s="41" t="s">
        <v>160</v>
      </c>
    </row>
    <row r="39" customFormat="false" ht="12" hidden="false" customHeight="false" outlineLevel="0" collapsed="false">
      <c r="B39" s="23" t="s">
        <v>48</v>
      </c>
      <c r="C39" s="23"/>
      <c r="D39" s="41" t="s">
        <v>161</v>
      </c>
      <c r="E39" s="41" t="s">
        <v>162</v>
      </c>
      <c r="F39" s="41" t="s">
        <v>163</v>
      </c>
      <c r="G39" s="41" t="s">
        <v>164</v>
      </c>
      <c r="H39" s="41" t="s">
        <v>165</v>
      </c>
      <c r="I39" s="41" t="s">
        <v>166</v>
      </c>
      <c r="J39" s="41" t="s">
        <v>167</v>
      </c>
      <c r="K39" s="41" t="s">
        <v>168</v>
      </c>
      <c r="L39" s="41" t="s">
        <v>169</v>
      </c>
      <c r="M39" s="41" t="s">
        <v>170</v>
      </c>
      <c r="N39" s="41" t="s">
        <v>171</v>
      </c>
      <c r="O39" s="41" t="s">
        <v>172</v>
      </c>
      <c r="P39" s="41" t="s">
        <v>173</v>
      </c>
      <c r="Q39" s="41" t="s">
        <v>174</v>
      </c>
      <c r="R39" s="41" t="s">
        <v>175</v>
      </c>
      <c r="S39" s="41" t="s">
        <v>176</v>
      </c>
      <c r="T39" s="41" t="s">
        <v>177</v>
      </c>
      <c r="U39" s="41" t="s">
        <v>178</v>
      </c>
    </row>
    <row r="40" customFormat="false" ht="12" hidden="false" customHeight="false" outlineLevel="0" collapsed="false">
      <c r="B40" s="23" t="s">
        <v>5</v>
      </c>
      <c r="C40" s="23"/>
      <c r="D40" s="17" t="n">
        <f aca="false">($B$7+$C$7)*COS(RADIANS(540))-$D$7*COS(($B$7+$C$7)/$C$7*RADIANS(540))</f>
        <v>-28</v>
      </c>
      <c r="E40" s="17" t="n">
        <f aca="false">($B$7+$C$7)*COS(RADIANS(550))-$D$7*COS(($B$7+$C$7)/$C$7*RADIANS(550))</f>
        <v>-22.9860055935334</v>
      </c>
      <c r="F40" s="17" t="n">
        <f aca="false">($B$7+$C$7)*COS(RADIANS(560))-$D$7*COS(($B$7+$C$7)/$C$7*RADIANS(560))</f>
        <v>-18.7938524157182</v>
      </c>
      <c r="G40" s="17" t="n">
        <f aca="false">($B$7+$C$7)*COS(RADIANS(570))-$D$7*COS(($B$7+$C$7)/$C$7*RADIANS(570))</f>
        <v>-16.5213046956517</v>
      </c>
      <c r="H40" s="17" t="n">
        <f aca="false">($B$7+$C$7)*COS(RADIANS(580))-$D$7*COS(($B$7+$C$7)/$C$7*RADIANS(580))</f>
        <v>-16.3069435298391</v>
      </c>
      <c r="I40" s="17" t="n">
        <f aca="false">($B$7+$C$7)*COS(RADIANS(590))-$D$7*COS(($B$7+$C$7)/$C$7*RADIANS(590))</f>
        <v>-17.3008071292418</v>
      </c>
      <c r="J40" s="17" t="n">
        <f aca="false">($B$7+$C$7)*COS(RADIANS(600))-$D$7*COS(($B$7+$C$7)/$C$7*RADIANS(600))</f>
        <v>-18</v>
      </c>
      <c r="K40" s="17" t="n">
        <f aca="false">($B$7+$C$7)*COS(RADIANS(610))-$D$7*COS(($B$7+$C$7)/$C$7*RADIANS(610))</f>
        <v>-16.8270263094119</v>
      </c>
      <c r="L40" s="17" t="n">
        <f aca="false">($B$7+$C$7)*COS(RADIANS(620))-$D$7*COS(($B$7+$C$7)/$C$7*RADIANS(620))</f>
        <v>-12.7406109987717</v>
      </c>
      <c r="M40" s="17" t="n">
        <f aca="false">($B$7+$C$7)*COS(RADIANS(630))-$D$7*COS(($B$7+$C$7)/$C$7*RADIANS(630))</f>
        <v>-5.65685424949242</v>
      </c>
      <c r="N40" s="17" t="n">
        <f aca="false">($B$7+$C$7)*COS(RADIANS(640))-$D$7*COS(($B$7+$C$7)/$C$7*RADIANS(640))</f>
        <v>3.47296355333857</v>
      </c>
      <c r="O40" s="17" t="n">
        <f aca="false">($B$7+$C$7)*COS(RADIANS(650))-$D$7*COS(($B$7+$C$7)/$C$7*RADIANS(650))</f>
        <v>12.9575101070443</v>
      </c>
      <c r="P40" s="17" t="n">
        <f aca="false">($B$7+$C$7)*COS(RADIANS(660))-$D$7*COS(($B$7+$C$7)/$C$7*RADIANS(660))</f>
        <v>20.9282032302755</v>
      </c>
      <c r="Q40" s="17" t="n">
        <f aca="false">($B$7+$C$7)*COS(RADIANS(670))-$D$7*COS(($B$7+$C$7)/$C$7*RADIANS(670))</f>
        <v>25.9676106559571</v>
      </c>
      <c r="R40" s="17" t="n">
        <f aca="false">($B$7+$C$7)*COS(RADIANS(680))-$D$7*COS(($B$7+$C$7)/$C$7*RADIANS(680))</f>
        <v>27.5775999522832</v>
      </c>
      <c r="S40" s="17" t="n">
        <f aca="false">($B$7+$C$7)*COS(RADIANS(690))-$D$7*COS(($B$7+$C$7)/$C$7*RADIANS(690))</f>
        <v>26.3192636667844</v>
      </c>
      <c r="T40" s="17" t="n">
        <f aca="false">($B$7+$C$7)*COS(RADIANS(700))-$D$7*COS(($B$7+$C$7)/$C$7*RADIANS(700))</f>
        <v>23.5752322354001</v>
      </c>
      <c r="U40" s="17" t="n">
        <f aca="false">($B$7+$C$7)*COS(RADIANS(710))-$D$7*COS(($B$7+$C$7)/$C$7*RADIANS(710))</f>
        <v>21.0214007300299</v>
      </c>
      <c r="V40" s="42" t="n">
        <f aca="false">($B$7+$C$7)*COS(RADIANS(720))-$D$7*COS(($B$7+$C$7)/$C$7*RADIANS(720))</f>
        <v>20</v>
      </c>
    </row>
    <row r="41" customFormat="false" ht="12" hidden="false" customHeight="false" outlineLevel="0" collapsed="false">
      <c r="B41" s="23" t="s">
        <v>6</v>
      </c>
      <c r="C41" s="23"/>
      <c r="D41" s="17" t="n">
        <f aca="false">($B$7+$C$7)*SIN(RADIANS(540))-$D$7*SIN(($B$7+$C$7)/$C$7*RADIANS(540))</f>
        <v>-7.99999999999999</v>
      </c>
      <c r="E41" s="17" t="n">
        <f aca="false">($B$7+$C$7)*SIN(RADIANS(550))-$D$7*SIN(($B$7+$C$7)/$C$7*RADIANS(550))</f>
        <v>-11.415365328986</v>
      </c>
      <c r="F41" s="17" t="n">
        <f aca="false">($B$7+$C$7)*SIN(RADIANS(560))-$D$7*SIN(($B$7+$C$7)/$C$7*RADIANS(560))</f>
        <v>-12.3127251597241</v>
      </c>
      <c r="G41" s="17" t="n">
        <f aca="false">($B$7+$C$7)*SIN(RADIANS(570))-$D$7*SIN(($B$7+$C$7)/$C$7*RADIANS(570))</f>
        <v>-11.9294476391798</v>
      </c>
      <c r="H41" s="17" t="n">
        <f aca="false">($B$7+$C$7)*SIN(RADIANS(580))-$D$7*SIN(($B$7+$C$7)/$C$7*RADIANS(580))</f>
        <v>-11.8696975262713</v>
      </c>
      <c r="I41" s="17" t="n">
        <f aca="false">($B$7+$C$7)*SIN(RADIANS(590))-$D$7*SIN(($B$7+$C$7)/$C$7*RADIANS(590))</f>
        <v>-13.4796868225974</v>
      </c>
      <c r="J41" s="17" t="n">
        <f aca="false">($B$7+$C$7)*SIN(RADIANS(600))-$D$7*SIN(($B$7+$C$7)/$C$7*RADIANS(600))</f>
        <v>-17.3205080756888</v>
      </c>
      <c r="K41" s="17" t="n">
        <f aca="false">($B$7+$C$7)*SIN(RADIANS(610))-$D$7*SIN(($B$7+$C$7)/$C$7*RADIANS(610))</f>
        <v>-22.9304472880798</v>
      </c>
      <c r="L41" s="17" t="n">
        <f aca="false">($B$7+$C$7)*SIN(RADIANS(620))-$D$7*SIN(($B$7+$C$7)/$C$7*RADIANS(620))</f>
        <v>-28.9638025056773</v>
      </c>
      <c r="M41" s="17" t="n">
        <f aca="false">($B$7+$C$7)*SIN(RADIANS(630))-$D$7*SIN(($B$7+$C$7)/$C$7*RADIANS(630))</f>
        <v>-33.6568542494924</v>
      </c>
      <c r="N41" s="17" t="n">
        <f aca="false">($B$7+$C$7)*SIN(RADIANS(640))-$D$7*SIN(($B$7+$C$7)/$C$7*RADIANS(640))</f>
        <v>-35.4530791084395</v>
      </c>
      <c r="O41" s="17" t="n">
        <f aca="false">($B$7+$C$7)*SIN(RADIANS(650))-$D$7*SIN(($B$7+$C$7)/$C$7*RADIANS(650))</f>
        <v>-33.5618556782986</v>
      </c>
      <c r="P41" s="17" t="n">
        <f aca="false">($B$7+$C$7)*SIN(RADIANS(660))-$D$7*SIN(($B$7+$C$7)/$C$7*RADIANS(660))</f>
        <v>-28.2487113059643</v>
      </c>
      <c r="Q41" s="17" t="n">
        <f aca="false">($B$7+$C$7)*SIN(RADIANS(670))-$D$7*SIN(($B$7+$C$7)/$C$7*RADIANS(670))</f>
        <v>-20.7519984653501</v>
      </c>
      <c r="R41" s="17" t="n">
        <f aca="false">($B$7+$C$7)*SIN(RADIANS(680))-$D$7*SIN(($B$7+$C$7)/$C$7*RADIANS(680))</f>
        <v>-12.8557521937308</v>
      </c>
      <c r="S41" s="17" t="n">
        <f aca="false">($B$7+$C$7)*SIN(RADIANS(690))-$D$7*SIN(($B$7+$C$7)/$C$7*RADIANS(690))</f>
        <v>-6.27259338968745</v>
      </c>
      <c r="T41" s="17" t="n">
        <f aca="false">($B$7+$C$7)*SIN(RADIANS(700))-$D$7*SIN(($B$7+$C$7)/$C$7*RADIANS(700))</f>
        <v>-2.05902304683147</v>
      </c>
      <c r="U41" s="17" t="n">
        <f aca="false">($B$7+$C$7)*SIN(RADIANS(710))-$D$7*SIN(($B$7+$C$7)/$C$7*RADIANS(710))</f>
        <v>-0.273537483865671</v>
      </c>
      <c r="V41" s="42" t="n">
        <f aca="false">($B$7+$C$7)*SIN(RADIANS(720))-$D$7*SIN(($B$7+$C$7)/$C$7*RADIANS(720))</f>
        <v>0</v>
      </c>
    </row>
    <row r="43" customFormat="false" ht="12" hidden="false" customHeight="false" outlineLevel="0" collapsed="false">
      <c r="B43" s="8" t="s">
        <v>30</v>
      </c>
      <c r="C43" s="8"/>
      <c r="D43" s="44" t="n">
        <v>0</v>
      </c>
      <c r="E43" s="44" t="s">
        <v>31</v>
      </c>
      <c r="F43" s="8" t="s">
        <v>32</v>
      </c>
      <c r="G43" s="8" t="s">
        <v>33</v>
      </c>
      <c r="H43" s="8" t="s">
        <v>34</v>
      </c>
      <c r="I43" s="8" t="s">
        <v>35</v>
      </c>
      <c r="J43" s="44" t="s">
        <v>36</v>
      </c>
      <c r="K43" s="44" t="s">
        <v>37</v>
      </c>
      <c r="L43" s="44" t="s">
        <v>38</v>
      </c>
      <c r="M43" s="44" t="s">
        <v>39</v>
      </c>
      <c r="N43" s="44" t="s">
        <v>40</v>
      </c>
      <c r="O43" s="44" t="s">
        <v>41</v>
      </c>
      <c r="P43" s="44" t="s">
        <v>42</v>
      </c>
      <c r="Q43" s="44" t="s">
        <v>43</v>
      </c>
      <c r="R43" s="44" t="s">
        <v>44</v>
      </c>
      <c r="S43" s="44" t="s">
        <v>45</v>
      </c>
      <c r="T43" s="44" t="s">
        <v>46</v>
      </c>
      <c r="U43" s="44" t="s">
        <v>47</v>
      </c>
    </row>
    <row r="44" customFormat="false" ht="12" hidden="false" customHeight="false" outlineLevel="0" collapsed="false">
      <c r="B44" s="8" t="s">
        <v>48</v>
      </c>
      <c r="C44" s="8"/>
      <c r="D44" s="44" t="s">
        <v>49</v>
      </c>
      <c r="E44" s="8" t="s">
        <v>50</v>
      </c>
      <c r="F44" s="8" t="s">
        <v>51</v>
      </c>
      <c r="G44" s="8" t="s">
        <v>52</v>
      </c>
      <c r="H44" s="8" t="s">
        <v>53</v>
      </c>
      <c r="I44" s="8" t="s">
        <v>54</v>
      </c>
      <c r="J44" s="8" t="s">
        <v>55</v>
      </c>
      <c r="K44" s="44" t="s">
        <v>56</v>
      </c>
      <c r="L44" s="44" t="s">
        <v>57</v>
      </c>
      <c r="M44" s="44" t="s">
        <v>58</v>
      </c>
      <c r="N44" s="44" t="s">
        <v>59</v>
      </c>
      <c r="O44" s="44" t="s">
        <v>60</v>
      </c>
      <c r="P44" s="44" t="s">
        <v>61</v>
      </c>
      <c r="Q44" s="44" t="s">
        <v>62</v>
      </c>
      <c r="R44" s="44" t="s">
        <v>63</v>
      </c>
      <c r="S44" s="44" t="s">
        <v>64</v>
      </c>
      <c r="T44" s="44" t="s">
        <v>65</v>
      </c>
      <c r="U44" s="44" t="s">
        <v>66</v>
      </c>
    </row>
    <row r="45" customFormat="false" ht="12" hidden="false" customHeight="false" outlineLevel="0" collapsed="false">
      <c r="B45" s="8" t="s">
        <v>5</v>
      </c>
      <c r="C45" s="8"/>
      <c r="D45" s="30" t="n">
        <f aca="false">$B$7*(COS(RADIANS(0)))</f>
        <v>20</v>
      </c>
      <c r="E45" s="30" t="n">
        <f aca="false">$B$7*(COS(RADIANS(10)))</f>
        <v>19.6961550602442</v>
      </c>
      <c r="F45" s="30" t="n">
        <f aca="false">$B$7*(COS(RADIANS(20)))</f>
        <v>18.7938524157182</v>
      </c>
      <c r="G45" s="30" t="n">
        <f aca="false">$B$7*(COS(RADIANS(30)))</f>
        <v>17.3205080756888</v>
      </c>
      <c r="H45" s="30" t="n">
        <f aca="false">$B$7*(COS(RADIANS(40)))</f>
        <v>15.3208888623796</v>
      </c>
      <c r="I45" s="30" t="n">
        <f aca="false">$B$7*(COS(RADIANS(50)))</f>
        <v>12.8557521937308</v>
      </c>
      <c r="J45" s="30" t="n">
        <f aca="false">$B$7*(COS(RADIANS(60)))</f>
        <v>10</v>
      </c>
      <c r="K45" s="30" t="n">
        <f aca="false">$B$7*(COS(RADIANS(70)))</f>
        <v>6.84040286651338</v>
      </c>
      <c r="L45" s="30" t="n">
        <f aca="false">$B$7*(COS(RADIANS(80)))</f>
        <v>3.47296355333861</v>
      </c>
      <c r="M45" s="30" t="n">
        <f aca="false">$B$7*(COS(RADIANS(90)))</f>
        <v>1.22464679914735E-015</v>
      </c>
      <c r="N45" s="30" t="n">
        <f aca="false">$B$7*(COS(RADIANS(100)))</f>
        <v>-3.47296355333861</v>
      </c>
      <c r="O45" s="30" t="n">
        <f aca="false">$B$7*(COS(RADIANS(110)))</f>
        <v>-6.84040286651337</v>
      </c>
      <c r="P45" s="30" t="n">
        <f aca="false">$B$7*(COS(RADIANS(120)))</f>
        <v>-10</v>
      </c>
      <c r="Q45" s="30" t="n">
        <f aca="false">$B$7*(COS(RADIANS(130)))</f>
        <v>-12.8557521937308</v>
      </c>
      <c r="R45" s="30" t="n">
        <f aca="false">$B$7*(COS(RADIANS(140)))</f>
        <v>-15.3208888623796</v>
      </c>
      <c r="S45" s="30" t="n">
        <f aca="false">$B$7*(COS(RADIANS(150)))</f>
        <v>-17.3205080756888</v>
      </c>
      <c r="T45" s="30" t="n">
        <f aca="false">$B$7*(COS(RADIANS(160)))</f>
        <v>-18.7938524157182</v>
      </c>
      <c r="U45" s="30" t="n">
        <f aca="false">$B$7*(COS(RADIANS(170)))</f>
        <v>-19.6961550602442</v>
      </c>
      <c r="V45" s="42" t="n">
        <f aca="false">$B$7*(COS(RADIANS(180)))</f>
        <v>-20</v>
      </c>
    </row>
    <row r="46" customFormat="false" ht="12" hidden="false" customHeight="false" outlineLevel="0" collapsed="false">
      <c r="B46" s="8" t="s">
        <v>6</v>
      </c>
      <c r="C46" s="8"/>
      <c r="D46" s="30" t="n">
        <f aca="false">$B$7*(SIN(RADIANS(0)))</f>
        <v>0</v>
      </c>
      <c r="E46" s="30" t="n">
        <f aca="false">$B$7*(SIN(RADIANS(10)))</f>
        <v>3.47296355333861</v>
      </c>
      <c r="F46" s="30" t="n">
        <f aca="false">$B$7*(SIN(RADIANS(20)))</f>
        <v>6.84040286651337</v>
      </c>
      <c r="G46" s="30" t="n">
        <f aca="false">$B$7*(SIN(RADIANS(30)))</f>
        <v>10</v>
      </c>
      <c r="H46" s="30" t="n">
        <f aca="false">$B$7*(SIN(RADIANS(40)))</f>
        <v>12.8557521937308</v>
      </c>
      <c r="I46" s="30" t="n">
        <f aca="false">$B$7*(SIN(RADIANS(50)))</f>
        <v>15.3208888623796</v>
      </c>
      <c r="J46" s="30" t="n">
        <f aca="false">$B$7*(SIN(RADIANS(60)))</f>
        <v>17.3205080756888</v>
      </c>
      <c r="K46" s="30" t="n">
        <f aca="false">$B$7*(SIN(RADIANS(70)))</f>
        <v>18.7938524157182</v>
      </c>
      <c r="L46" s="30" t="n">
        <f aca="false">$B$7*(SIN(RADIANS(80)))</f>
        <v>19.6961550602442</v>
      </c>
      <c r="M46" s="30" t="n">
        <f aca="false">$B$7*(SIN(RADIANS(90)))</f>
        <v>20</v>
      </c>
      <c r="N46" s="30" t="n">
        <f aca="false">$B$7*(SIN(RADIANS(100)))</f>
        <v>19.6961550602442</v>
      </c>
      <c r="O46" s="30" t="n">
        <f aca="false">$B$7*(SIN(RADIANS(110)))</f>
        <v>18.7938524157182</v>
      </c>
      <c r="P46" s="30" t="n">
        <f aca="false">$B$7*(SIN(RADIANS(120)))</f>
        <v>17.3205080756888</v>
      </c>
      <c r="Q46" s="30" t="n">
        <f aca="false">$B$7*(SIN(RADIANS(130)))</f>
        <v>15.3208888623796</v>
      </c>
      <c r="R46" s="30" t="n">
        <f aca="false">$B$7*(SIN(RADIANS(140)))</f>
        <v>12.8557521937308</v>
      </c>
      <c r="S46" s="30" t="n">
        <f aca="false">$B$7*(SIN(RADIANS(150)))</f>
        <v>10</v>
      </c>
      <c r="T46" s="30" t="n">
        <f aca="false">$B$7*(SIN(RADIANS(160)))</f>
        <v>6.84040286651338</v>
      </c>
      <c r="U46" s="30" t="n">
        <f aca="false">$B$7*(SIN(RADIANS(170)))</f>
        <v>3.47296355333861</v>
      </c>
      <c r="V46" s="42" t="n">
        <f aca="false">$B$7*(SIN(RADIANS(180)))</f>
        <v>2.44929359829471E-015</v>
      </c>
    </row>
    <row r="48" customFormat="false" ht="12" hidden="false" customHeight="false" outlineLevel="0" collapsed="false">
      <c r="B48" s="8" t="s">
        <v>30</v>
      </c>
      <c r="C48" s="8"/>
      <c r="D48" s="44" t="s">
        <v>67</v>
      </c>
      <c r="E48" s="44" t="s">
        <v>68</v>
      </c>
      <c r="F48" s="44" t="s">
        <v>69</v>
      </c>
      <c r="G48" s="44" t="s">
        <v>70</v>
      </c>
      <c r="H48" s="44" t="s">
        <v>71</v>
      </c>
      <c r="I48" s="44" t="s">
        <v>72</v>
      </c>
      <c r="J48" s="44" t="s">
        <v>73</v>
      </c>
      <c r="K48" s="44" t="s">
        <v>74</v>
      </c>
      <c r="L48" s="44" t="s">
        <v>75</v>
      </c>
      <c r="M48" s="44" t="s">
        <v>76</v>
      </c>
      <c r="N48" s="44" t="s">
        <v>77</v>
      </c>
      <c r="O48" s="44" t="s">
        <v>78</v>
      </c>
      <c r="P48" s="44" t="s">
        <v>79</v>
      </c>
      <c r="Q48" s="44" t="s">
        <v>80</v>
      </c>
      <c r="R48" s="44" t="s">
        <v>81</v>
      </c>
      <c r="S48" s="44" t="s">
        <v>82</v>
      </c>
      <c r="T48" s="44" t="s">
        <v>83</v>
      </c>
      <c r="U48" s="44" t="s">
        <v>84</v>
      </c>
    </row>
    <row r="49" customFormat="false" ht="12" hidden="false" customHeight="false" outlineLevel="0" collapsed="false">
      <c r="B49" s="8" t="s">
        <v>48</v>
      </c>
      <c r="C49" s="8"/>
      <c r="D49" s="44" t="s">
        <v>85</v>
      </c>
      <c r="E49" s="44" t="s">
        <v>86</v>
      </c>
      <c r="F49" s="44" t="s">
        <v>87</v>
      </c>
      <c r="G49" s="44" t="s">
        <v>88</v>
      </c>
      <c r="H49" s="44" t="s">
        <v>89</v>
      </c>
      <c r="I49" s="44" t="s">
        <v>90</v>
      </c>
      <c r="J49" s="44" t="s">
        <v>91</v>
      </c>
      <c r="K49" s="44" t="s">
        <v>92</v>
      </c>
      <c r="L49" s="44" t="s">
        <v>93</v>
      </c>
      <c r="M49" s="44" t="s">
        <v>94</v>
      </c>
      <c r="N49" s="44" t="s">
        <v>95</v>
      </c>
      <c r="O49" s="44" t="s">
        <v>96</v>
      </c>
      <c r="P49" s="44" t="s">
        <v>97</v>
      </c>
      <c r="Q49" s="44" t="s">
        <v>98</v>
      </c>
      <c r="R49" s="44" t="s">
        <v>99</v>
      </c>
      <c r="S49" s="44" t="s">
        <v>100</v>
      </c>
      <c r="T49" s="44" t="s">
        <v>101</v>
      </c>
      <c r="U49" s="44" t="s">
        <v>102</v>
      </c>
    </row>
    <row r="50" customFormat="false" ht="12" hidden="false" customHeight="false" outlineLevel="0" collapsed="false">
      <c r="B50" s="8" t="s">
        <v>5</v>
      </c>
      <c r="C50" s="8"/>
      <c r="D50" s="30" t="n">
        <f aca="false">$B$7*(COS(RADIANS(180)))</f>
        <v>-20</v>
      </c>
      <c r="E50" s="30" t="n">
        <f aca="false">$B$7*(COS(RADIANS(190)))</f>
        <v>-19.6961550602442</v>
      </c>
      <c r="F50" s="30" t="n">
        <f aca="false">$B$7*(COS(RADIANS(200)))</f>
        <v>-18.7938524157182</v>
      </c>
      <c r="G50" s="30" t="n">
        <f aca="false">$B$7*(COS(RADIANS(210)))</f>
        <v>-17.3205080756888</v>
      </c>
      <c r="H50" s="30" t="n">
        <f aca="false">$B$7*(COS(RADIANS(220)))</f>
        <v>-15.3208888623796</v>
      </c>
      <c r="I50" s="30" t="n">
        <f aca="false">$B$7*(COS(RADIANS(230)))</f>
        <v>-12.8557521937308</v>
      </c>
      <c r="J50" s="30" t="n">
        <f aca="false">$B$7*(COS(RADIANS(240)))</f>
        <v>-10</v>
      </c>
      <c r="K50" s="30" t="n">
        <f aca="false">$B$7*(COS(RADIANS(250)))</f>
        <v>-6.84040286651337</v>
      </c>
      <c r="L50" s="30" t="n">
        <f aca="false">$B$7*(COS(RADIANS(260)))</f>
        <v>-3.47296355333861</v>
      </c>
      <c r="M50" s="30" t="n">
        <f aca="false">$B$7*(COS(RADIANS(270)))</f>
        <v>-3.67394039744206E-015</v>
      </c>
      <c r="N50" s="30" t="n">
        <f aca="false">$B$7*(COS(RADIANS(280)))</f>
        <v>3.4729635533386</v>
      </c>
      <c r="O50" s="30" t="n">
        <f aca="false">$B$7*(COS(RADIANS(290)))</f>
        <v>6.84040286651338</v>
      </c>
      <c r="P50" s="30" t="n">
        <f aca="false">$B$7*(COS(RADIANS(300)))</f>
        <v>10</v>
      </c>
      <c r="Q50" s="30" t="n">
        <f aca="false">$B$7*(COS(RADIANS(310)))</f>
        <v>12.8557521937308</v>
      </c>
      <c r="R50" s="30" t="n">
        <f aca="false">$B$7*(COS(RADIANS(320)))</f>
        <v>15.3208888623796</v>
      </c>
      <c r="S50" s="30" t="n">
        <f aca="false">$B$7*(COS(RADIANS(330)))</f>
        <v>17.3205080756888</v>
      </c>
      <c r="T50" s="30" t="n">
        <f aca="false">$B$7*(COS(RADIANS(340)))</f>
        <v>18.7938524157182</v>
      </c>
      <c r="U50" s="30" t="n">
        <f aca="false">$B$7*(COS(RADIANS(350)))</f>
        <v>19.6961550602442</v>
      </c>
      <c r="V50" s="42" t="n">
        <f aca="false">$B$7*(COS(RADIANS(360)))</f>
        <v>20</v>
      </c>
    </row>
    <row r="51" customFormat="false" ht="12" hidden="false" customHeight="false" outlineLevel="0" collapsed="false">
      <c r="B51" s="8" t="s">
        <v>6</v>
      </c>
      <c r="C51" s="8"/>
      <c r="D51" s="30" t="n">
        <f aca="false">$B$7*(SIN(RADIANS(180)))</f>
        <v>2.44929359829471E-015</v>
      </c>
      <c r="E51" s="30" t="n">
        <f aca="false">$B$7*(SIN(RADIANS(190)))</f>
        <v>-3.47296355333861</v>
      </c>
      <c r="F51" s="30" t="n">
        <f aca="false">$B$7*(SIN(RADIANS(200)))</f>
        <v>-6.84040286651337</v>
      </c>
      <c r="G51" s="30" t="n">
        <f aca="false">$B$7*(SIN(RADIANS(210)))</f>
        <v>-10</v>
      </c>
      <c r="H51" s="30" t="n">
        <f aca="false">$B$7*(SIN(RADIANS(220)))</f>
        <v>-12.8557521937308</v>
      </c>
      <c r="I51" s="30" t="n">
        <f aca="false">$B$7*(SIN(RADIANS(230)))</f>
        <v>-15.3208888623796</v>
      </c>
      <c r="J51" s="30" t="n">
        <f aca="false">$B$7*(SIN(RADIANS(240)))</f>
        <v>-17.3205080756888</v>
      </c>
      <c r="K51" s="30" t="n">
        <f aca="false">$B$7*(SIN(RADIANS(250)))</f>
        <v>-18.7938524157182</v>
      </c>
      <c r="L51" s="30" t="n">
        <f aca="false">$B$7*(SIN(RADIANS(260)))</f>
        <v>-19.6961550602442</v>
      </c>
      <c r="M51" s="30" t="n">
        <f aca="false">$B$7*(SIN(RADIANS(270)))</f>
        <v>-20</v>
      </c>
      <c r="N51" s="30" t="n">
        <f aca="false">$B$7*(SIN(RADIANS(280)))</f>
        <v>-19.6961550602442</v>
      </c>
      <c r="O51" s="30" t="n">
        <f aca="false">$B$7*(SIN(RADIANS(290)))</f>
        <v>-18.7938524157182</v>
      </c>
      <c r="P51" s="30" t="n">
        <f aca="false">$B$7*(SIN(RADIANS(300)))</f>
        <v>-17.3205080756888</v>
      </c>
      <c r="Q51" s="30" t="n">
        <f aca="false">$B$7*(SIN(RADIANS(310)))</f>
        <v>-15.3208888623796</v>
      </c>
      <c r="R51" s="30" t="n">
        <f aca="false">$B$7*(SIN(RADIANS(320)))</f>
        <v>-12.8557521937308</v>
      </c>
      <c r="S51" s="30" t="n">
        <f aca="false">$B$7*(SIN(RADIANS(330)))</f>
        <v>-10</v>
      </c>
      <c r="T51" s="30" t="n">
        <f aca="false">$B$7*(SIN(RADIANS(340)))</f>
        <v>-6.84040286651337</v>
      </c>
      <c r="U51" s="30" t="n">
        <f aca="false">$B$7*(SIN(RADIANS(350)))</f>
        <v>-3.47296355333861</v>
      </c>
      <c r="V51" s="42" t="n">
        <f aca="false">$B$7*(SIN(RADIANS(360)))</f>
        <v>-4.89858719658941E-015</v>
      </c>
    </row>
    <row r="53" customFormat="false" ht="12.8" hidden="false" customHeight="false" outlineLevel="0" collapsed="false">
      <c r="B53" s="31" t="s">
        <v>30</v>
      </c>
      <c r="C53" s="31"/>
      <c r="D53" s="46" t="n">
        <v>0</v>
      </c>
      <c r="E53" s="46" t="s">
        <v>31</v>
      </c>
      <c r="F53" s="31" t="s">
        <v>32</v>
      </c>
      <c r="G53" s="31" t="s">
        <v>33</v>
      </c>
      <c r="H53" s="31" t="s">
        <v>34</v>
      </c>
      <c r="I53" s="31" t="s">
        <v>35</v>
      </c>
      <c r="J53" s="46" t="s">
        <v>36</v>
      </c>
      <c r="K53" s="46" t="s">
        <v>37</v>
      </c>
      <c r="L53" s="46" t="s">
        <v>38</v>
      </c>
      <c r="M53" s="46" t="s">
        <v>39</v>
      </c>
      <c r="N53" s="46" t="s">
        <v>40</v>
      </c>
      <c r="O53" s="46" t="s">
        <v>41</v>
      </c>
      <c r="P53" s="46" t="s">
        <v>42</v>
      </c>
      <c r="Q53" s="46" t="s">
        <v>43</v>
      </c>
      <c r="R53" s="46" t="s">
        <v>44</v>
      </c>
      <c r="S53" s="46" t="s">
        <v>45</v>
      </c>
      <c r="T53" s="46" t="s">
        <v>46</v>
      </c>
      <c r="U53" s="46" t="s">
        <v>47</v>
      </c>
    </row>
    <row r="54" customFormat="false" ht="12.8" hidden="false" customHeight="false" outlineLevel="0" collapsed="false">
      <c r="B54" s="31" t="s">
        <v>48</v>
      </c>
      <c r="C54" s="31"/>
      <c r="D54" s="46" t="s">
        <v>49</v>
      </c>
      <c r="E54" s="31" t="s">
        <v>50</v>
      </c>
      <c r="F54" s="31" t="s">
        <v>51</v>
      </c>
      <c r="G54" s="31" t="s">
        <v>52</v>
      </c>
      <c r="H54" s="31" t="s">
        <v>53</v>
      </c>
      <c r="I54" s="31" t="s">
        <v>54</v>
      </c>
      <c r="J54" s="31" t="s">
        <v>55</v>
      </c>
      <c r="K54" s="46" t="s">
        <v>56</v>
      </c>
      <c r="L54" s="46" t="s">
        <v>57</v>
      </c>
      <c r="M54" s="46" t="s">
        <v>58</v>
      </c>
      <c r="N54" s="46" t="s">
        <v>59</v>
      </c>
      <c r="O54" s="46" t="s">
        <v>60</v>
      </c>
      <c r="P54" s="46" t="s">
        <v>61</v>
      </c>
      <c r="Q54" s="46" t="s">
        <v>62</v>
      </c>
      <c r="R54" s="46" t="s">
        <v>63</v>
      </c>
      <c r="S54" s="46" t="s">
        <v>64</v>
      </c>
      <c r="T54" s="46" t="s">
        <v>65</v>
      </c>
      <c r="U54" s="46" t="s">
        <v>66</v>
      </c>
    </row>
    <row r="55" customFormat="false" ht="12.8" hidden="false" customHeight="false" outlineLevel="0" collapsed="false">
      <c r="B55" s="31" t="s">
        <v>5</v>
      </c>
      <c r="C55" s="31"/>
      <c r="D55" s="47" t="n">
        <f aca="false">$C$7*(COS(RADIANS(0)))+$B$7+$C$7</f>
        <v>36</v>
      </c>
      <c r="E55" s="47" t="n">
        <f aca="false">$C$7*(COS(RADIANS(10)))+$B$7+$C$7</f>
        <v>35.8784620240977</v>
      </c>
      <c r="F55" s="47" t="n">
        <f aca="false">$C$7*(COS(RADIANS(20)))+$B$7+$C$7</f>
        <v>35.5175409662873</v>
      </c>
      <c r="G55" s="47" t="n">
        <f aca="false">$C$7*(COS(RADIANS(30)))+$B$7+$C$7</f>
        <v>34.9282032302755</v>
      </c>
      <c r="H55" s="47" t="n">
        <f aca="false">$C$7*(COS(RADIANS(40)))+$B$7+$C$7</f>
        <v>34.1283555449518</v>
      </c>
      <c r="I55" s="47" t="n">
        <f aca="false">$C$7*(COS(RADIANS(50)))+$B$7+$C$7</f>
        <v>33.1423008774923</v>
      </c>
      <c r="J55" s="47" t="n">
        <f aca="false">$C$7*(COS(RADIANS(60)))+$B$7+$C$7</f>
        <v>32</v>
      </c>
      <c r="K55" s="47" t="n">
        <f aca="false">$C$7*(COS(RADIANS(70)))+$B$7+$C$7</f>
        <v>30.7361611466054</v>
      </c>
      <c r="L55" s="47" t="n">
        <f aca="false">$C$7*(COS(RADIANS(80)))+$B$7+$C$7</f>
        <v>29.3891854213354</v>
      </c>
      <c r="M55" s="47" t="n">
        <f aca="false">$C$7*(COS(RADIANS(90)))+$B$7+$C$7</f>
        <v>28</v>
      </c>
      <c r="N55" s="47" t="n">
        <f aca="false">$C$7*(COS(RADIANS(100)))+$B$7+$C$7</f>
        <v>26.6108145786646</v>
      </c>
      <c r="O55" s="47" t="n">
        <f aca="false">$C$7*(COS(RADIANS(110)))+$B$7+$C$7</f>
        <v>25.2638388533946</v>
      </c>
      <c r="P55" s="47" t="n">
        <f aca="false">$C$7*(COS(RADIANS(120)))+$B$7+$C$7</f>
        <v>24</v>
      </c>
      <c r="Q55" s="47" t="n">
        <f aca="false">$C$7*(COS(RADIANS(130)))+$B$7+$C$7</f>
        <v>22.8576991225077</v>
      </c>
      <c r="R55" s="47" t="n">
        <f aca="false">$C$7*(COS(RADIANS(140)))+$B$7+$C$7</f>
        <v>21.8716444550482</v>
      </c>
      <c r="S55" s="47" t="n">
        <f aca="false">$C$7*(COS(RADIANS(150)))+$B$7+$C$7</f>
        <v>21.0717967697245</v>
      </c>
      <c r="T55" s="47" t="n">
        <f aca="false">$C$7*(COS(RADIANS(160)))+$B$7+$C$7</f>
        <v>20.4824590337127</v>
      </c>
      <c r="U55" s="47" t="n">
        <f aca="false">$C$7*(COS(RADIANS(170)))+$B$7+$C$7</f>
        <v>20.1215379759023</v>
      </c>
      <c r="V55" s="42" t="n">
        <f aca="false">$C$7*(COS(RADIANS(180)))+$B$7+$C$7</f>
        <v>20</v>
      </c>
    </row>
    <row r="56" customFormat="false" ht="12.8" hidden="false" customHeight="false" outlineLevel="0" collapsed="false">
      <c r="B56" s="31" t="s">
        <v>6</v>
      </c>
      <c r="C56" s="31"/>
      <c r="D56" s="48" t="n">
        <f aca="false">$C$7*(SIN(RADIANS(0)))</f>
        <v>0</v>
      </c>
      <c r="E56" s="47" t="n">
        <f aca="false">$C$7*(SIN(RADIANS(10)))</f>
        <v>1.38918542133544</v>
      </c>
      <c r="F56" s="47" t="n">
        <f aca="false">$C$7*(SIN(RADIANS(20)))</f>
        <v>2.73616114660535</v>
      </c>
      <c r="G56" s="47" t="n">
        <f aca="false">$C$7*(SIN(RADIANS(30)))</f>
        <v>4</v>
      </c>
      <c r="H56" s="47" t="n">
        <f aca="false">$C$7*(SIN(RADIANS(40)))</f>
        <v>5.14230087749231</v>
      </c>
      <c r="I56" s="47" t="n">
        <f aca="false">$C$7*(SIN(RADIANS(50)))</f>
        <v>6.12835554495182</v>
      </c>
      <c r="J56" s="47" t="n">
        <f aca="false">$C$7*(SIN(RADIANS(60)))</f>
        <v>6.92820323027551</v>
      </c>
      <c r="K56" s="47" t="n">
        <f aca="false">$C$7*(SIN(RADIANS(70)))</f>
        <v>7.51754096628727</v>
      </c>
      <c r="L56" s="47" t="n">
        <f aca="false">$C$7*(SIN(RADIANS(80)))</f>
        <v>7.87846202409766</v>
      </c>
      <c r="M56" s="47" t="n">
        <f aca="false">$C$7*(SIN(RADIANS(90)))</f>
        <v>8</v>
      </c>
      <c r="N56" s="47" t="n">
        <f aca="false">$C$7*(SIN(RADIANS(100)))</f>
        <v>7.87846202409766</v>
      </c>
      <c r="O56" s="47" t="n">
        <f aca="false">$C$7*(SIN(RADIANS(110)))</f>
        <v>7.51754096628727</v>
      </c>
      <c r="P56" s="47" t="n">
        <f aca="false">$C$7*(SIN(RADIANS(120)))</f>
        <v>6.92820323027551</v>
      </c>
      <c r="Q56" s="47" t="n">
        <f aca="false">$C$7*(SIN(RADIANS(130)))</f>
        <v>6.12835554495182</v>
      </c>
      <c r="R56" s="47" t="n">
        <f aca="false">$C$7*(SIN(RADIANS(140)))</f>
        <v>5.14230087749232</v>
      </c>
      <c r="S56" s="47" t="n">
        <f aca="false">$C$7*(SIN(RADIANS(150)))</f>
        <v>4</v>
      </c>
      <c r="T56" s="47" t="n">
        <f aca="false">$C$7*(SIN(RADIANS(160)))</f>
        <v>2.73616114660535</v>
      </c>
      <c r="U56" s="47" t="n">
        <f aca="false">$C$7*(SIN(RADIANS(170)))</f>
        <v>1.38918542133544</v>
      </c>
      <c r="V56" s="42" t="n">
        <f aca="false">$C$7*(SIN(RADIANS(180)))</f>
        <v>9.79717439317883E-016</v>
      </c>
    </row>
    <row r="58" customFormat="false" ht="12.8" hidden="false" customHeight="false" outlineLevel="0" collapsed="false">
      <c r="B58" s="31" t="s">
        <v>30</v>
      </c>
      <c r="C58" s="31"/>
      <c r="D58" s="46" t="s">
        <v>67</v>
      </c>
      <c r="E58" s="46" t="s">
        <v>68</v>
      </c>
      <c r="F58" s="46" t="s">
        <v>69</v>
      </c>
      <c r="G58" s="46" t="s">
        <v>70</v>
      </c>
      <c r="H58" s="46" t="s">
        <v>71</v>
      </c>
      <c r="I58" s="46" t="s">
        <v>72</v>
      </c>
      <c r="J58" s="46" t="s">
        <v>73</v>
      </c>
      <c r="K58" s="46" t="s">
        <v>74</v>
      </c>
      <c r="L58" s="46" t="s">
        <v>75</v>
      </c>
      <c r="M58" s="46" t="s">
        <v>76</v>
      </c>
      <c r="N58" s="46" t="s">
        <v>77</v>
      </c>
      <c r="O58" s="46" t="s">
        <v>78</v>
      </c>
      <c r="P58" s="46" t="s">
        <v>79</v>
      </c>
      <c r="Q58" s="46" t="s">
        <v>80</v>
      </c>
      <c r="R58" s="46" t="s">
        <v>81</v>
      </c>
      <c r="S58" s="46" t="s">
        <v>82</v>
      </c>
      <c r="T58" s="46" t="s">
        <v>83</v>
      </c>
      <c r="U58" s="46" t="s">
        <v>84</v>
      </c>
    </row>
    <row r="59" customFormat="false" ht="12.8" hidden="false" customHeight="false" outlineLevel="0" collapsed="false">
      <c r="B59" s="31" t="s">
        <v>48</v>
      </c>
      <c r="C59" s="31"/>
      <c r="D59" s="46" t="s">
        <v>85</v>
      </c>
      <c r="E59" s="46" t="s">
        <v>86</v>
      </c>
      <c r="F59" s="46" t="s">
        <v>87</v>
      </c>
      <c r="G59" s="46" t="s">
        <v>88</v>
      </c>
      <c r="H59" s="46" t="s">
        <v>89</v>
      </c>
      <c r="I59" s="46" t="s">
        <v>90</v>
      </c>
      <c r="J59" s="46" t="s">
        <v>91</v>
      </c>
      <c r="K59" s="46" t="s">
        <v>92</v>
      </c>
      <c r="L59" s="46" t="s">
        <v>93</v>
      </c>
      <c r="M59" s="46" t="s">
        <v>94</v>
      </c>
      <c r="N59" s="46" t="s">
        <v>95</v>
      </c>
      <c r="O59" s="46" t="s">
        <v>96</v>
      </c>
      <c r="P59" s="46" t="s">
        <v>97</v>
      </c>
      <c r="Q59" s="46" t="s">
        <v>98</v>
      </c>
      <c r="R59" s="46" t="s">
        <v>99</v>
      </c>
      <c r="S59" s="46" t="s">
        <v>100</v>
      </c>
      <c r="T59" s="46" t="s">
        <v>101</v>
      </c>
      <c r="U59" s="46" t="s">
        <v>102</v>
      </c>
    </row>
    <row r="60" customFormat="false" ht="12.8" hidden="false" customHeight="false" outlineLevel="0" collapsed="false">
      <c r="B60" s="31" t="s">
        <v>5</v>
      </c>
      <c r="C60" s="31"/>
      <c r="D60" s="47" t="n">
        <f aca="false">$C$7*(COS(RADIANS(180)))+$B$7+$C$7</f>
        <v>20</v>
      </c>
      <c r="E60" s="47" t="n">
        <f aca="false">$C$7*(COS(RADIANS(190)))+$B$7+$C$7</f>
        <v>20.1215379759023</v>
      </c>
      <c r="F60" s="47" t="n">
        <f aca="false">$C$7*(COS(RADIANS(200)))+$B$7+$C$7</f>
        <v>20.4824590337127</v>
      </c>
      <c r="G60" s="47" t="n">
        <f aca="false">$C$7*(COS(RADIANS(210)))+$B$7+$C$7</f>
        <v>21.0717967697245</v>
      </c>
      <c r="H60" s="47" t="n">
        <f aca="false">$C$7*(COS(RADIANS(220)))+$B$7+$C$7</f>
        <v>21.8716444550482</v>
      </c>
      <c r="I60" s="47" t="n">
        <f aca="false">$C$7*(COS(RADIANS(230)))+$B$7+$C$7</f>
        <v>22.8576991225077</v>
      </c>
      <c r="J60" s="47" t="n">
        <f aca="false">$C$7*(COS(RADIANS(240)))+$B$7+$C$7</f>
        <v>24</v>
      </c>
      <c r="K60" s="47" t="n">
        <f aca="false">$C$7*(COS(RADIANS(250)))+$B$7+$C$7</f>
        <v>25.2638388533947</v>
      </c>
      <c r="L60" s="47" t="n">
        <f aca="false">$C$7*(COS(RADIANS(260)))+$B$7+$C$7</f>
        <v>26.6108145786646</v>
      </c>
      <c r="M60" s="47" t="n">
        <f aca="false">$C$7*(COS(RADIANS(270)))+$B$7+$C$7</f>
        <v>28</v>
      </c>
      <c r="N60" s="47" t="n">
        <f aca="false">$C$7*(COS(RADIANS(280)))+$B$7+$C$7</f>
        <v>29.3891854213354</v>
      </c>
      <c r="O60" s="47" t="n">
        <f aca="false">$C$7*(COS(RADIANS(290)))+$B$7+$C$7</f>
        <v>30.7361611466054</v>
      </c>
      <c r="P60" s="47" t="n">
        <f aca="false">$C$7*(COS(RADIANS(300)))+$B$7+$C$7</f>
        <v>32</v>
      </c>
      <c r="Q60" s="47" t="n">
        <f aca="false">$C$7*(COS(RADIANS(310)))+$B$7+$C$7</f>
        <v>33.1423008774923</v>
      </c>
      <c r="R60" s="47" t="n">
        <f aca="false">$C$7*(COS(RADIANS(320)))+$B$7+$C$7</f>
        <v>34.1283555449518</v>
      </c>
      <c r="S60" s="47" t="n">
        <f aca="false">$C$7*(COS(RADIANS(330)))+$B$7+$C$7</f>
        <v>34.9282032302755</v>
      </c>
      <c r="T60" s="47" t="n">
        <f aca="false">$C$7*(COS(RADIANS(340)))+$B$7+$C$7</f>
        <v>35.5175409662873</v>
      </c>
      <c r="U60" s="47" t="n">
        <f aca="false">$C$7*(COS(RADIANS(350)))+$B$7+$C$7</f>
        <v>35.8784620240977</v>
      </c>
      <c r="V60" s="42" t="n">
        <f aca="false">$C$7*(COS(RADIANS(360)))+$B$7+$C$7</f>
        <v>36</v>
      </c>
    </row>
    <row r="61" customFormat="false" ht="12.8" hidden="false" customHeight="false" outlineLevel="0" collapsed="false">
      <c r="B61" s="31" t="s">
        <v>6</v>
      </c>
      <c r="C61" s="31"/>
      <c r="D61" s="47" t="n">
        <f aca="false">$C$7*(SIN(RADIANS(180)))</f>
        <v>9.79717439317883E-016</v>
      </c>
      <c r="E61" s="47" t="n">
        <f aca="false">$C$7*(SIN(RADIANS(190)))</f>
        <v>-1.38918542133544</v>
      </c>
      <c r="F61" s="47" t="n">
        <f aca="false">$C$7*(SIN(RADIANS(200)))</f>
        <v>-2.73616114660535</v>
      </c>
      <c r="G61" s="47" t="n">
        <f aca="false">$C$7*(SIN(RADIANS(210)))</f>
        <v>-4</v>
      </c>
      <c r="H61" s="47" t="n">
        <f aca="false">$C$7*(SIN(RADIANS(220)))</f>
        <v>-5.14230087749231</v>
      </c>
      <c r="I61" s="47" t="n">
        <f aca="false">$C$7*(SIN(RADIANS(230)))</f>
        <v>-6.12835554495182</v>
      </c>
      <c r="J61" s="47" t="n">
        <f aca="false">$C$7*(SIN(RADIANS(240)))</f>
        <v>-6.92820323027551</v>
      </c>
      <c r="K61" s="47" t="n">
        <f aca="false">$C$7*(SIN(RADIANS(250)))</f>
        <v>-7.51754096628727</v>
      </c>
      <c r="L61" s="47" t="n">
        <f aca="false">$C$7*(SIN(RADIANS(260)))</f>
        <v>-7.87846202409766</v>
      </c>
      <c r="M61" s="47" t="n">
        <f aca="false">$C$7*(SIN(RADIANS(270)))</f>
        <v>-8</v>
      </c>
      <c r="N61" s="47" t="n">
        <f aca="false">$C$7*(SIN(RADIANS(280)))</f>
        <v>-7.87846202409767</v>
      </c>
      <c r="O61" s="47" t="n">
        <f aca="false">$C$7*(SIN(RADIANS(290)))</f>
        <v>-7.51754096628727</v>
      </c>
      <c r="P61" s="47" t="n">
        <f aca="false">$C$7*(SIN(RADIANS(300)))</f>
        <v>-6.92820323027551</v>
      </c>
      <c r="Q61" s="47" t="n">
        <f aca="false">$C$7*(SIN(RADIANS(310)))</f>
        <v>-6.12835554495183</v>
      </c>
      <c r="R61" s="47" t="n">
        <f aca="false">$C$7*(SIN(RADIANS(320)))</f>
        <v>-5.14230087749232</v>
      </c>
      <c r="S61" s="47" t="n">
        <f aca="false">$C$7*(SIN(RADIANS(330)))</f>
        <v>-4</v>
      </c>
      <c r="T61" s="47" t="n">
        <f aca="false">$C$7*(SIN(RADIANS(340)))</f>
        <v>-2.73616114660535</v>
      </c>
      <c r="U61" s="47" t="n">
        <f aca="false">$C$7*(SIN(RADIANS(350)))</f>
        <v>-1.38918542133544</v>
      </c>
      <c r="V61" s="42" t="n">
        <f aca="false">$C$7*(SIN(RADIANS(360)))</f>
        <v>-1.95943487863577E-015</v>
      </c>
    </row>
  </sheetData>
  <mergeCells count="32">
    <mergeCell ref="B23:C23"/>
    <mergeCell ref="B24:C24"/>
    <mergeCell ref="B25:C25"/>
    <mergeCell ref="B26:C26"/>
    <mergeCell ref="B28:C28"/>
    <mergeCell ref="B29:C29"/>
    <mergeCell ref="B30:C30"/>
    <mergeCell ref="B31:C31"/>
    <mergeCell ref="B33:C33"/>
    <mergeCell ref="B34:C34"/>
    <mergeCell ref="B35:C35"/>
    <mergeCell ref="B36:C36"/>
    <mergeCell ref="B38:C38"/>
    <mergeCell ref="B39:C39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1:C51"/>
    <mergeCell ref="B53:C53"/>
    <mergeCell ref="B54:C54"/>
    <mergeCell ref="B55:C55"/>
    <mergeCell ref="B56:C56"/>
    <mergeCell ref="B58:C58"/>
    <mergeCell ref="B59:C59"/>
    <mergeCell ref="B60:C60"/>
    <mergeCell ref="B61:C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1:V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0" width="10.1396396396396"/>
  </cols>
  <sheetData>
    <row r="1" customFormat="false" ht="12.8" hidden="false" customHeight="false" outlineLevel="0" collapsed="false"/>
    <row r="2" customFormat="false" ht="20.1" hidden="false" customHeight="false" outlineLevel="0" collapsed="false">
      <c r="B2" s="1" t="s">
        <v>189</v>
      </c>
    </row>
    <row r="3" customFormat="false" ht="12.8" hidden="false" customHeight="false" outlineLevel="0" collapsed="false"/>
    <row r="4" customFormat="false" ht="12.8" hidden="false" customHeight="false" outlineLevel="0" collapsed="false">
      <c r="B4" s="0" t="s">
        <v>190</v>
      </c>
    </row>
    <row r="5" customFormat="false" ht="12.8" hidden="false" customHeight="false" outlineLevel="0" collapsed="false">
      <c r="B5" s="8" t="s">
        <v>185</v>
      </c>
      <c r="C5" s="31" t="s">
        <v>186</v>
      </c>
      <c r="D5" s="3" t="s">
        <v>181</v>
      </c>
    </row>
    <row r="6" customFormat="false" ht="12.8" hidden="false" customHeight="false" outlineLevel="0" collapsed="false">
      <c r="B6" s="11" t="s">
        <v>187</v>
      </c>
      <c r="C6" s="45" t="s">
        <v>188</v>
      </c>
      <c r="D6" s="3" t="s">
        <v>182</v>
      </c>
    </row>
    <row r="7" customFormat="false" ht="12.8" hidden="false" customHeight="false" outlineLevel="0" collapsed="false">
      <c r="B7" s="9" t="n">
        <v>20</v>
      </c>
      <c r="C7" s="6" t="n">
        <v>8</v>
      </c>
      <c r="D7" s="7" t="n">
        <v>8</v>
      </c>
    </row>
    <row r="9" customFormat="false" ht="15" hidden="false" customHeight="false" outlineLevel="0" collapsed="false">
      <c r="B9" s="10" t="s">
        <v>8</v>
      </c>
    </row>
    <row r="16" customFormat="false" ht="12.8" hidden="false" customHeight="false" outlineLevel="0" collapsed="false"/>
    <row r="21" customFormat="false" ht="12" hidden="false" customHeight="false" outlineLevel="0" collapsed="false">
      <c r="B21" s="0" t="s">
        <v>10</v>
      </c>
    </row>
    <row r="23" customFormat="false" ht="12" hidden="false" customHeight="false" outlineLevel="0" collapsed="false">
      <c r="B23" s="23" t="s">
        <v>30</v>
      </c>
      <c r="C23" s="23"/>
      <c r="D23" s="41" t="n">
        <v>0</v>
      </c>
      <c r="E23" s="41" t="s">
        <v>31</v>
      </c>
      <c r="F23" s="23" t="s">
        <v>32</v>
      </c>
      <c r="G23" s="23" t="s">
        <v>33</v>
      </c>
      <c r="H23" s="23" t="s">
        <v>34</v>
      </c>
      <c r="I23" s="23" t="s">
        <v>35</v>
      </c>
      <c r="J23" s="41" t="s">
        <v>36</v>
      </c>
      <c r="K23" s="41" t="s">
        <v>37</v>
      </c>
      <c r="L23" s="41" t="s">
        <v>38</v>
      </c>
      <c r="M23" s="41" t="s">
        <v>39</v>
      </c>
      <c r="N23" s="41" t="s">
        <v>40</v>
      </c>
      <c r="O23" s="41" t="s">
        <v>41</v>
      </c>
      <c r="P23" s="41" t="s">
        <v>42</v>
      </c>
      <c r="Q23" s="41" t="s">
        <v>43</v>
      </c>
      <c r="R23" s="41" t="s">
        <v>44</v>
      </c>
      <c r="S23" s="41" t="s">
        <v>45</v>
      </c>
      <c r="T23" s="41" t="s">
        <v>46</v>
      </c>
      <c r="U23" s="41" t="s">
        <v>47</v>
      </c>
    </row>
    <row r="24" customFormat="false" ht="12" hidden="false" customHeight="false" outlineLevel="0" collapsed="false">
      <c r="B24" s="23" t="s">
        <v>48</v>
      </c>
      <c r="C24" s="23"/>
      <c r="D24" s="41" t="s">
        <v>49</v>
      </c>
      <c r="E24" s="23" t="s">
        <v>50</v>
      </c>
      <c r="F24" s="23" t="s">
        <v>51</v>
      </c>
      <c r="G24" s="23" t="s">
        <v>52</v>
      </c>
      <c r="H24" s="23" t="s">
        <v>53</v>
      </c>
      <c r="I24" s="23" t="s">
        <v>54</v>
      </c>
      <c r="J24" s="23" t="s">
        <v>55</v>
      </c>
      <c r="K24" s="41" t="s">
        <v>56</v>
      </c>
      <c r="L24" s="41" t="s">
        <v>57</v>
      </c>
      <c r="M24" s="41" t="s">
        <v>58</v>
      </c>
      <c r="N24" s="41" t="s">
        <v>59</v>
      </c>
      <c r="O24" s="41" t="s">
        <v>60</v>
      </c>
      <c r="P24" s="41" t="s">
        <v>61</v>
      </c>
      <c r="Q24" s="41" t="s">
        <v>62</v>
      </c>
      <c r="R24" s="41" t="s">
        <v>63</v>
      </c>
      <c r="S24" s="41" t="s">
        <v>64</v>
      </c>
      <c r="T24" s="41" t="s">
        <v>65</v>
      </c>
      <c r="U24" s="41" t="s">
        <v>66</v>
      </c>
    </row>
    <row r="25" customFormat="false" ht="12" hidden="false" customHeight="false" outlineLevel="0" collapsed="false">
      <c r="B25" s="23" t="s">
        <v>5</v>
      </c>
      <c r="C25" s="23"/>
      <c r="D25" s="17" t="n">
        <f aca="false">($B$7-$C$7)*COS(RADIANS(0))-$D$7*COS(($B$7-$C$7)/$C$7*RADIANS(0))</f>
        <v>4</v>
      </c>
      <c r="E25" s="17" t="n">
        <f aca="false">($B$7-$C$7)*COS(RADIANS(10))-$D$7*COS(($B$7-$C$7)/$C$7*RADIANS(10))</f>
        <v>4.09028642583395</v>
      </c>
      <c r="F25" s="17" t="n">
        <f aca="false">($B$7-$C$7)*COS(RADIANS(20))-$D$7*COS(($B$7-$C$7)/$C$7*RADIANS(20))</f>
        <v>4.34810821915539</v>
      </c>
      <c r="G25" s="17" t="n">
        <f aca="false">($B$7-$C$7)*COS(RADIANS(30))-$D$7*COS(($B$7-$C$7)/$C$7*RADIANS(30))</f>
        <v>4.73545059592088</v>
      </c>
      <c r="H25" s="17" t="n">
        <f aca="false">($B$7-$C$7)*COS(RADIANS(40))-$D$7*COS(($B$7-$C$7)/$C$7*RADIANS(40))</f>
        <v>5.19253331742774</v>
      </c>
      <c r="I25" s="17" t="n">
        <f aca="false">($B$7-$C$7)*COS(RADIANS(50))-$D$7*COS(($B$7-$C$7)/$C$7*RADIANS(50))</f>
        <v>5.64289895541831</v>
      </c>
      <c r="J25" s="17" t="n">
        <f aca="false">($B$7-$C$7)*COS(RADIANS(60))-$D$7*COS(($B$7-$C$7)/$C$7*RADIANS(60))</f>
        <v>6</v>
      </c>
      <c r="K25" s="17" t="n">
        <f aca="false">($B$7-$C$7)*COS(RADIANS(70))-$D$7*COS(($B$7-$C$7)/$C$7*RADIANS(70))</f>
        <v>6.17479408072819</v>
      </c>
      <c r="L25" s="17" t="n">
        <f aca="false">($B$7-$C$7)*COS(RADIANS(80))-$D$7*COS(($B$7-$C$7)/$C$7*RADIANS(80))</f>
        <v>6.08377813200316</v>
      </c>
      <c r="M25" s="17" t="n">
        <f aca="false">($B$7-$C$7)*COS(RADIANS(90))-$D$7*COS(($B$7-$C$7)/$C$7*RADIANS(90))</f>
        <v>5.65685424949238</v>
      </c>
      <c r="N25" s="17" t="n">
        <f aca="false">($B$7-$C$7)*COS(RADIANS(100))-$D$7*COS(($B$7-$C$7)/$C$7*RADIANS(100))</f>
        <v>4.84442509827235</v>
      </c>
      <c r="O25" s="17" t="n">
        <f aca="false">($B$7-$C$7)*COS(RADIANS(110))-$D$7*COS(($B$7-$C$7)/$C$7*RADIANS(110))</f>
        <v>3.62316489040452</v>
      </c>
      <c r="P25" s="17" t="n">
        <f aca="false">($B$7-$C$7)*COS(RADIANS(120))-$D$7*COS(($B$7-$C$7)/$C$7*RADIANS(120))</f>
        <v>2</v>
      </c>
      <c r="Q25" s="17" t="n">
        <f aca="false">($B$7-$C$7)*COS(RADIANS(130))-$D$7*COS(($B$7-$C$7)/$C$7*RADIANS(130))</f>
        <v>0.0139552940740737</v>
      </c>
      <c r="R25" s="17" t="n">
        <f aca="false">($B$7-$C$7)*COS(RADIANS(140))-$D$7*COS(($B$7-$C$7)/$C$7*RADIANS(140))</f>
        <v>-2.26433008715222</v>
      </c>
      <c r="S25" s="17" t="n">
        <f aca="false">($B$7-$C$7)*COS(RADIANS(150))-$D$7*COS(($B$7-$C$7)/$C$7*RADIANS(150))</f>
        <v>-4.73545059592088</v>
      </c>
      <c r="T25" s="17" t="n">
        <f aca="false">($B$7-$C$7)*COS(RADIANS(160))-$D$7*COS(($B$7-$C$7)/$C$7*RADIANS(160))</f>
        <v>-7.2763114494309</v>
      </c>
      <c r="U25" s="17" t="n">
        <f aca="false">($B$7-$C$7)*COS(RADIANS(170))-$D$7*COS(($B$7-$C$7)/$C$7*RADIANS(170))</f>
        <v>-9.74714067532633</v>
      </c>
      <c r="V25" s="42" t="n">
        <f aca="false">($B$7-$C$7)*COS(RADIANS(180))-$D$7*COS(($B$7-$C$7)/$C$7*RADIANS(180))</f>
        <v>-12</v>
      </c>
    </row>
    <row r="26" customFormat="false" ht="12" hidden="false" customHeight="false" outlineLevel="0" collapsed="false">
      <c r="B26" s="23" t="s">
        <v>6</v>
      </c>
      <c r="C26" s="23"/>
      <c r="D26" s="17" t="n">
        <f aca="false">($B$7-$C$7)*SIN(RADIANS(0))-$D$7*SIN(($B$7-$C$7)/$C$7*RADIANS(0))</f>
        <v>0</v>
      </c>
      <c r="E26" s="17" t="n">
        <f aca="false">($B$7-$C$7)*SIN(RADIANS(10))-$D$7*SIN(($B$7-$C$7)/$C$7*RADIANS(10))</f>
        <v>0.0132257711829982</v>
      </c>
      <c r="F26" s="17" t="n">
        <f aca="false">($B$7-$C$7)*SIN(RADIANS(20))-$D$7*SIN(($B$7-$C$7)/$C$7*RADIANS(20))</f>
        <v>0.104241719908025</v>
      </c>
      <c r="G26" s="17" t="n">
        <f aca="false">($B$7-$C$7)*SIN(RADIANS(30))-$D$7*SIN(($B$7-$C$7)/$C$7*RADIANS(30))</f>
        <v>0.343145750507619</v>
      </c>
      <c r="H26" s="17" t="n">
        <f aca="false">($B$7-$C$7)*SIN(RADIANS(40))-$D$7*SIN(($B$7-$C$7)/$C$7*RADIANS(40))</f>
        <v>0.785248085962962</v>
      </c>
      <c r="I26" s="17" t="n">
        <f aca="false">($B$7-$C$7)*SIN(RADIANS(50))-$D$7*SIN(($B$7-$C$7)/$C$7*RADIANS(50))</f>
        <v>1.46512670711519</v>
      </c>
      <c r="J26" s="17" t="n">
        <f aca="false">($B$7-$C$7)*SIN(RADIANS(60))-$D$7*SIN(($B$7-$C$7)/$C$7*RADIANS(60))</f>
        <v>2.39230484541326</v>
      </c>
      <c r="K26" s="17" t="n">
        <f aca="false">($B$7-$C$7)*SIN(RADIANS(70))-$D$7*SIN(($B$7-$C$7)/$C$7*RADIANS(70))</f>
        <v>3.54890483911835</v>
      </c>
      <c r="L26" s="17" t="n">
        <f aca="false">($B$7-$C$7)*SIN(RADIANS(80))-$D$7*SIN(($B$7-$C$7)/$C$7*RADIANS(80))</f>
        <v>4.88948980587099</v>
      </c>
      <c r="M26" s="17" t="n">
        <f aca="false">($B$7-$C$7)*SIN(RADIANS(90))-$D$7*SIN(($B$7-$C$7)/$C$7*RADIANS(90))</f>
        <v>6.34314575050762</v>
      </c>
      <c r="N26" s="17" t="n">
        <f aca="false">($B$7-$C$7)*SIN(RADIANS(100))-$D$7*SIN(($B$7-$C$7)/$C$7*RADIANS(100))</f>
        <v>7.8176930361465</v>
      </c>
      <c r="O26" s="17" t="n">
        <f aca="false">($B$7-$C$7)*SIN(RADIANS(110))-$D$7*SIN(($B$7-$C$7)/$C$7*RADIANS(110))</f>
        <v>9.20575908861074</v>
      </c>
      <c r="P26" s="17" t="n">
        <f aca="false">($B$7-$C$7)*SIN(RADIANS(120))-$D$7*SIN(($B$7-$C$7)/$C$7*RADIANS(120))</f>
        <v>10.3923048454133</v>
      </c>
      <c r="Q26" s="17" t="n">
        <f aca="false">($B$7-$C$7)*SIN(RADIANS(130))-$D$7*SIN(($B$7-$C$7)/$C$7*RADIANS(130))</f>
        <v>11.2630856782479</v>
      </c>
      <c r="R26" s="17" t="n">
        <f aca="false">($B$7-$C$7)*SIN(RADIANS(140))-$D$7*SIN(($B$7-$C$7)/$C$7*RADIANS(140))</f>
        <v>11.7134513162385</v>
      </c>
      <c r="S26" s="17" t="n">
        <f aca="false">($B$7-$C$7)*SIN(RADIANS(150))-$D$7*SIN(($B$7-$C$7)/$C$7*RADIANS(150))</f>
        <v>11.6568542494924</v>
      </c>
      <c r="T26" s="17" t="n">
        <f aca="false">($B$7-$C$7)*SIN(RADIANS(160))-$D$7*SIN(($B$7-$C$7)/$C$7*RADIANS(160))</f>
        <v>11.0324449501835</v>
      </c>
      <c r="U26" s="17" t="n">
        <f aca="false">($B$7-$C$7)*SIN(RADIANS(170))-$D$7*SIN(($B$7-$C$7)/$C$7*RADIANS(170))</f>
        <v>9.81118474231571</v>
      </c>
      <c r="V26" s="42" t="n">
        <f aca="false">($B$7-$C$7)*SIN(RADIANS(180))-$D$7*SIN(($B$7-$C$7)/$C$7*RADIANS(180))</f>
        <v>8</v>
      </c>
    </row>
    <row r="28" customFormat="false" ht="12" hidden="false" customHeight="false" outlineLevel="0" collapsed="false">
      <c r="B28" s="23" t="s">
        <v>30</v>
      </c>
      <c r="C28" s="23"/>
      <c r="D28" s="41" t="s">
        <v>67</v>
      </c>
      <c r="E28" s="41" t="s">
        <v>68</v>
      </c>
      <c r="F28" s="41" t="s">
        <v>69</v>
      </c>
      <c r="G28" s="41" t="s">
        <v>70</v>
      </c>
      <c r="H28" s="41" t="s">
        <v>71</v>
      </c>
      <c r="I28" s="41" t="n">
        <f aca="false">$B$7-$D$7*COS(RADIANS(180))</f>
        <v>28</v>
      </c>
      <c r="J28" s="41" t="s">
        <v>73</v>
      </c>
      <c r="K28" s="41" t="s">
        <v>74</v>
      </c>
      <c r="L28" s="41" t="s">
        <v>75</v>
      </c>
      <c r="M28" s="41" t="s">
        <v>76</v>
      </c>
      <c r="N28" s="41" t="s">
        <v>77</v>
      </c>
      <c r="O28" s="41" t="s">
        <v>78</v>
      </c>
      <c r="P28" s="41" t="s">
        <v>79</v>
      </c>
      <c r="Q28" s="41" t="s">
        <v>80</v>
      </c>
      <c r="R28" s="41" t="s">
        <v>81</v>
      </c>
      <c r="S28" s="41" t="s">
        <v>82</v>
      </c>
      <c r="T28" s="41" t="s">
        <v>83</v>
      </c>
      <c r="U28" s="41" t="s">
        <v>84</v>
      </c>
    </row>
    <row r="29" customFormat="false" ht="12" hidden="false" customHeight="false" outlineLevel="0" collapsed="false">
      <c r="B29" s="23" t="s">
        <v>48</v>
      </c>
      <c r="C29" s="23"/>
      <c r="D29" s="41" t="s">
        <v>85</v>
      </c>
      <c r="E29" s="41" t="s">
        <v>86</v>
      </c>
      <c r="F29" s="41" t="s">
        <v>87</v>
      </c>
      <c r="G29" s="41" t="s">
        <v>88</v>
      </c>
      <c r="H29" s="41" t="s">
        <v>89</v>
      </c>
      <c r="I29" s="41" t="s">
        <v>90</v>
      </c>
      <c r="J29" s="41" t="s">
        <v>91</v>
      </c>
      <c r="K29" s="41" t="s">
        <v>92</v>
      </c>
      <c r="L29" s="41" t="s">
        <v>93</v>
      </c>
      <c r="M29" s="41" t="s">
        <v>94</v>
      </c>
      <c r="N29" s="41" t="s">
        <v>95</v>
      </c>
      <c r="O29" s="41" t="s">
        <v>96</v>
      </c>
      <c r="P29" s="41" t="s">
        <v>97</v>
      </c>
      <c r="Q29" s="41" t="s">
        <v>98</v>
      </c>
      <c r="R29" s="41" t="s">
        <v>99</v>
      </c>
      <c r="S29" s="41" t="s">
        <v>100</v>
      </c>
      <c r="T29" s="41" t="s">
        <v>101</v>
      </c>
      <c r="U29" s="41" t="s">
        <v>102</v>
      </c>
    </row>
    <row r="30" customFormat="false" ht="12" hidden="false" customHeight="false" outlineLevel="0" collapsed="false">
      <c r="B30" s="23" t="s">
        <v>5</v>
      </c>
      <c r="C30" s="23"/>
      <c r="D30" s="17" t="n">
        <f aca="false">($B$7-$C$7)*COS(RADIANS(180))-$D$7*COS(($B$7-$C$7)/$C$7*RADIANS(180))</f>
        <v>-12</v>
      </c>
      <c r="E30" s="17" t="n">
        <f aca="false">($B$7-$C$7)*COS(RADIANS(190))-$D$7*COS(($B$7-$C$7)/$C$7*RADIANS(190))</f>
        <v>-13.8882453969667</v>
      </c>
      <c r="F30" s="17" t="n">
        <f aca="false">($B$7-$C$7)*COS(RADIANS(200))-$D$7*COS(($B$7-$C$7)/$C$7*RADIANS(200))</f>
        <v>-15.2763114494309</v>
      </c>
      <c r="G30" s="17" t="n">
        <f aca="false">($B$7-$C$7)*COS(RADIANS(210))-$D$7*COS(($B$7-$C$7)/$C$7*RADIANS(210))</f>
        <v>-16.0491590949056</v>
      </c>
      <c r="H30" s="17" t="n">
        <f aca="false">($B$7-$C$7)*COS(RADIANS(220))-$D$7*COS(($B$7-$C$7)/$C$7*RADIANS(220))</f>
        <v>-16.1207365477032</v>
      </c>
      <c r="I30" s="17" t="n">
        <f aca="false">($B$7-$C$7)*COS(RADIANS(230))-$D$7*COS(($B$7-$C$7)/$C$7*RADIANS(230))</f>
        <v>-15.440857926551</v>
      </c>
      <c r="J30" s="17" t="n">
        <f aca="false">($B$7-$C$7)*COS(RADIANS(240))-$D$7*COS(($B$7-$C$7)/$C$7*RADIANS(240))</f>
        <v>-14</v>
      </c>
      <c r="K30" s="17" t="n">
        <f aca="false">($B$7-$C$7)*COS(RADIANS(250))-$D$7*COS(($B$7-$C$7)/$C$7*RADIANS(250))</f>
        <v>-11.8316483302206</v>
      </c>
      <c r="L30" s="17" t="n">
        <f aca="false">($B$7-$C$7)*COS(RADIANS(260))-$D$7*COS(($B$7-$C$7)/$C$7*RADIANS(260))</f>
        <v>-9.01198136227867</v>
      </c>
      <c r="M30" s="17" t="n">
        <f aca="false">($B$7-$C$7)*COS(RADIANS(270))-$D$7*COS(($B$7-$C$7)/$C$7*RADIANS(270))</f>
        <v>-5.65685424949238</v>
      </c>
      <c r="N30" s="17" t="n">
        <f aca="false">($B$7-$C$7)*COS(RADIANS(280))-$D$7*COS(($B$7-$C$7)/$C$7*RADIANS(280))</f>
        <v>-1.91622186799684</v>
      </c>
      <c r="O30" s="17" t="n">
        <f aca="false">($B$7-$C$7)*COS(RADIANS(290))-$D$7*COS(($B$7-$C$7)/$C$7*RADIANS(290))</f>
        <v>2.03368935908786</v>
      </c>
      <c r="P30" s="17" t="n">
        <f aca="false">($B$7-$C$7)*COS(RADIANS(300))-$D$7*COS(($B$7-$C$7)/$C$7*RADIANS(300))</f>
        <v>6</v>
      </c>
      <c r="Q30" s="17" t="n">
        <f aca="false">($B$7-$C$7)*COS(RADIANS(310))-$D$7*COS(($B$7-$C$7)/$C$7*RADIANS(310))</f>
        <v>9.78400367705863</v>
      </c>
      <c r="R30" s="17" t="n">
        <f aca="false">($B$7-$C$7)*COS(RADIANS(320))-$D$7*COS(($B$7-$C$7)/$C$7*RADIANS(320))</f>
        <v>13.1925333174277</v>
      </c>
      <c r="S30" s="17" t="n">
        <f aca="false">($B$7-$C$7)*COS(RADIANS(330))-$D$7*COS(($B$7-$C$7)/$C$7*RADIANS(330))</f>
        <v>16.0491590949056</v>
      </c>
      <c r="T30" s="17" t="n">
        <f aca="false">($B$7-$C$7)*COS(RADIANS(340))-$D$7*COS(($B$7-$C$7)/$C$7*RADIANS(340))</f>
        <v>18.2045146797064</v>
      </c>
      <c r="U30" s="17" t="n">
        <f aca="false">($B$7-$C$7)*COS(RADIANS(350))-$D$7*COS(($B$7-$C$7)/$C$7*RADIANS(350))</f>
        <v>19.545099646459</v>
      </c>
      <c r="V30" s="42" t="n">
        <f aca="false">($B$7-$C$7)*COS(RADIANS(360))-$D$7*COS(($B$7-$C$7)/$C$7*RADIANS(360))</f>
        <v>20</v>
      </c>
    </row>
    <row r="31" customFormat="false" ht="12" hidden="false" customHeight="false" outlineLevel="0" collapsed="false">
      <c r="B31" s="23" t="s">
        <v>6</v>
      </c>
      <c r="C31" s="23"/>
      <c r="D31" s="17" t="n">
        <f aca="false">($B$7-$C$7)*SIN(RADIANS(180))-$D$7*SIN(($B$7-$C$7)/$C$7*RADIANS(180))</f>
        <v>8</v>
      </c>
      <c r="E31" s="17" t="n">
        <f aca="false">($B$7-$C$7)*SIN(RADIANS(190))-$D$7*SIN(($B$7-$C$7)/$C$7*RADIANS(190))</f>
        <v>5.64362847830938</v>
      </c>
      <c r="F31" s="17" t="n">
        <f aca="false">($B$7-$C$7)*SIN(RADIANS(200))-$D$7*SIN(($B$7-$C$7)/$C$7*RADIANS(200))</f>
        <v>2.82396151036748</v>
      </c>
      <c r="G31" s="17" t="n">
        <f aca="false">($B$7-$C$7)*SIN(RADIANS(210))-$D$7*SIN(($B$7-$C$7)/$C$7*RADIANS(210))</f>
        <v>-0.343145750507626</v>
      </c>
      <c r="H31" s="17" t="n">
        <f aca="false">($B$7-$C$7)*SIN(RADIANS(220))-$D$7*SIN(($B$7-$C$7)/$C$7*RADIANS(220))</f>
        <v>-3.71345131623847</v>
      </c>
      <c r="I31" s="17" t="n">
        <f aca="false">($B$7-$C$7)*SIN(RADIANS(230))-$D$7*SIN(($B$7-$C$7)/$C$7*RADIANS(230))</f>
        <v>-7.12198095660757</v>
      </c>
      <c r="J31" s="17" t="n">
        <f aca="false">($B$7-$C$7)*SIN(RADIANS(240))-$D$7*SIN(($B$7-$C$7)/$C$7*RADIANS(240))</f>
        <v>-10.3923048454133</v>
      </c>
      <c r="K31" s="17" t="n">
        <f aca="false">($B$7-$C$7)*SIN(RADIANS(250))-$D$7*SIN(($B$7-$C$7)/$C$7*RADIANS(250))</f>
        <v>-13.3468638102511</v>
      </c>
      <c r="L31" s="17" t="n">
        <f aca="false">($B$7-$C$7)*SIN(RADIANS(260))-$D$7*SIN(($B$7-$C$7)/$C$7*RADIANS(260))</f>
        <v>-15.8176930361465</v>
      </c>
      <c r="M31" s="17" t="n">
        <f aca="false">($B$7-$C$7)*SIN(RADIANS(270))-$D$7*SIN(($B$7-$C$7)/$C$7*RADIANS(270))</f>
        <v>-17.6568542494924</v>
      </c>
      <c r="N31" s="17" t="n">
        <f aca="false">($B$7-$C$7)*SIN(RADIANS(280))-$D$7*SIN(($B$7-$C$7)/$C$7*RADIANS(280))</f>
        <v>-18.745896266422</v>
      </c>
      <c r="O31" s="17" t="n">
        <f aca="false">($B$7-$C$7)*SIN(RADIANS(290))-$D$7*SIN(($B$7-$C$7)/$C$7*RADIANS(290))</f>
        <v>-19.0037180597434</v>
      </c>
      <c r="P31" s="17" t="n">
        <f aca="false">($B$7-$C$7)*SIN(RADIANS(300))-$D$7*SIN(($B$7-$C$7)/$C$7*RADIANS(300))</f>
        <v>-18.3923048454133</v>
      </c>
      <c r="Q31" s="17" t="n">
        <f aca="false">($B$7-$C$7)*SIN(RADIANS(310))-$D$7*SIN(($B$7-$C$7)/$C$7*RADIANS(310))</f>
        <v>-16.9199399277403</v>
      </c>
      <c r="R31" s="17" t="n">
        <f aca="false">($B$7-$C$7)*SIN(RADIANS(320))-$D$7*SIN(($B$7-$C$7)/$C$7*RADIANS(320))</f>
        <v>-14.641654546514</v>
      </c>
      <c r="S31" s="17" t="n">
        <f aca="false">($B$7-$C$7)*SIN(RADIANS(330))-$D$7*SIN(($B$7-$C$7)/$C$7*RADIANS(330))</f>
        <v>-11.6568542494924</v>
      </c>
      <c r="T31" s="17" t="n">
        <f aca="false">($B$7-$C$7)*SIN(RADIANS(340))-$D$7*SIN(($B$7-$C$7)/$C$7*RADIANS(340))</f>
        <v>-8.10424171990802</v>
      </c>
      <c r="U31" s="17" t="n">
        <f aca="false">($B$7-$C$7)*SIN(RADIANS(350))-$D$7*SIN(($B$7-$C$7)/$C$7*RADIANS(350))</f>
        <v>-4.15433049282333</v>
      </c>
      <c r="V31" s="42" t="n">
        <f aca="false">($B$7-$C$7)*SIN(RADIANS(360))-$D$7*SIN(($B$7-$C$7)/$C$7*RADIANS(360))</f>
        <v>-5.8783046359073E-015</v>
      </c>
    </row>
    <row r="33" customFormat="false" ht="12" hidden="false" customHeight="false" outlineLevel="0" collapsed="false">
      <c r="B33" s="23" t="s">
        <v>30</v>
      </c>
      <c r="C33" s="23"/>
      <c r="D33" s="41" t="s">
        <v>107</v>
      </c>
      <c r="E33" s="41" t="s">
        <v>108</v>
      </c>
      <c r="F33" s="23" t="s">
        <v>109</v>
      </c>
      <c r="G33" s="23" t="s">
        <v>110</v>
      </c>
      <c r="H33" s="23" t="s">
        <v>111</v>
      </c>
      <c r="I33" s="23" t="s">
        <v>112</v>
      </c>
      <c r="J33" s="41" t="s">
        <v>113</v>
      </c>
      <c r="K33" s="41" t="s">
        <v>114</v>
      </c>
      <c r="L33" s="41" t="s">
        <v>115</v>
      </c>
      <c r="M33" s="41" t="s">
        <v>116</v>
      </c>
      <c r="N33" s="41" t="s">
        <v>117</v>
      </c>
      <c r="O33" s="41" t="s">
        <v>118</v>
      </c>
      <c r="P33" s="41" t="s">
        <v>119</v>
      </c>
      <c r="Q33" s="41" t="s">
        <v>120</v>
      </c>
      <c r="R33" s="41" t="s">
        <v>121</v>
      </c>
      <c r="S33" s="41" t="s">
        <v>122</v>
      </c>
      <c r="T33" s="41" t="s">
        <v>123</v>
      </c>
      <c r="U33" s="41" t="s">
        <v>124</v>
      </c>
    </row>
    <row r="34" customFormat="false" ht="12" hidden="false" customHeight="false" outlineLevel="0" collapsed="false">
      <c r="B34" s="23" t="s">
        <v>48</v>
      </c>
      <c r="C34" s="23"/>
      <c r="D34" s="41" t="s">
        <v>125</v>
      </c>
      <c r="E34" s="23" t="s">
        <v>126</v>
      </c>
      <c r="F34" s="23" t="s">
        <v>127</v>
      </c>
      <c r="G34" s="23" t="s">
        <v>128</v>
      </c>
      <c r="H34" s="23" t="s">
        <v>129</v>
      </c>
      <c r="I34" s="23" t="s">
        <v>130</v>
      </c>
      <c r="J34" s="23" t="s">
        <v>131</v>
      </c>
      <c r="K34" s="41" t="s">
        <v>132</v>
      </c>
      <c r="L34" s="41" t="s">
        <v>133</v>
      </c>
      <c r="M34" s="41" t="s">
        <v>134</v>
      </c>
      <c r="N34" s="41" t="s">
        <v>135</v>
      </c>
      <c r="O34" s="41" t="s">
        <v>136</v>
      </c>
      <c r="P34" s="41" t="s">
        <v>137</v>
      </c>
      <c r="Q34" s="41" t="s">
        <v>138</v>
      </c>
      <c r="R34" s="41" t="s">
        <v>139</v>
      </c>
      <c r="S34" s="41" t="s">
        <v>140</v>
      </c>
      <c r="T34" s="41" t="s">
        <v>141</v>
      </c>
      <c r="U34" s="41" t="s">
        <v>142</v>
      </c>
    </row>
    <row r="35" customFormat="false" ht="12" hidden="false" customHeight="false" outlineLevel="0" collapsed="false">
      <c r="B35" s="23" t="s">
        <v>5</v>
      </c>
      <c r="C35" s="23"/>
      <c r="D35" s="17" t="n">
        <f aca="false">($B$7-$C$7)*COS(RADIANS(360))-$D$7*COS(($B$7-$C$7)/$C$7*RADIANS(360))</f>
        <v>20</v>
      </c>
      <c r="E35" s="17" t="n">
        <f aca="false">($B$7-$C$7)*COS(RADIANS(370))-$D$7*COS(($B$7-$C$7)/$C$7*RADIANS(370))</f>
        <v>19.545099646459</v>
      </c>
      <c r="F35" s="17" t="n">
        <f aca="false">($B$7-$C$7)*COS(RADIANS(380))-$D$7*COS(($B$7-$C$7)/$C$7*RADIANS(380))</f>
        <v>18.2045146797064</v>
      </c>
      <c r="G35" s="17" t="n">
        <f aca="false">($B$7-$C$7)*COS(RADIANS(390))-$D$7*COS(($B$7-$C$7)/$C$7*RADIANS(390))</f>
        <v>16.0491590949056</v>
      </c>
      <c r="H35" s="17" t="n">
        <f aca="false">($B$7-$C$7)*COS(RADIANS(400))-$D$7*COS(($B$7-$C$7)/$C$7*RADIANS(400))</f>
        <v>13.1925333174277</v>
      </c>
      <c r="I35" s="17" t="n">
        <f aca="false">($B$7-$C$7)*COS(RADIANS(410))-$D$7*COS(($B$7-$C$7)/$C$7*RADIANS(410))</f>
        <v>9.78400367705864</v>
      </c>
      <c r="J35" s="17" t="n">
        <f aca="false">($B$7-$C$7)*COS(RADIANS(420))-$D$7*COS(($B$7-$C$7)/$C$7*RADIANS(420))</f>
        <v>5.99999999999999</v>
      </c>
      <c r="K35" s="17" t="n">
        <f aca="false">($B$7-$C$7)*COS(RADIANS(430))-$D$7*COS(($B$7-$C$7)/$C$7*RADIANS(430))</f>
        <v>2.03368935908786</v>
      </c>
      <c r="L35" s="17" t="n">
        <f aca="false">($B$7-$C$7)*COS(RADIANS(440))-$D$7*COS(($B$7-$C$7)/$C$7*RADIANS(440))</f>
        <v>-1.91622186799684</v>
      </c>
      <c r="M35" s="17" t="n">
        <f aca="false">($B$7-$C$7)*COS(RADIANS(450))-$D$7*COS(($B$7-$C$7)/$C$7*RADIANS(450))</f>
        <v>-5.65685424949237</v>
      </c>
      <c r="N35" s="17" t="n">
        <f aca="false">($B$7-$C$7)*COS(RADIANS(460))-$D$7*COS(($B$7-$C$7)/$C$7*RADIANS(460))</f>
        <v>-9.01198136227867</v>
      </c>
      <c r="O35" s="17" t="n">
        <f aca="false">($B$7-$C$7)*COS(RADIANS(470))-$D$7*COS(($B$7-$C$7)/$C$7*RADIANS(470))</f>
        <v>-11.8316483302206</v>
      </c>
      <c r="P35" s="17" t="n">
        <f aca="false">($B$7-$C$7)*COS(RADIANS(480))-$D$7*COS(($B$7-$C$7)/$C$7*RADIANS(480))</f>
        <v>-14</v>
      </c>
      <c r="Q35" s="17" t="n">
        <f aca="false">($B$7-$C$7)*COS(RADIANS(490))-$D$7*COS(($B$7-$C$7)/$C$7*RADIANS(490))</f>
        <v>-15.440857926551</v>
      </c>
      <c r="R35" s="17" t="n">
        <f aca="false">($B$7-$C$7)*COS(RADIANS(500))-$D$7*COS(($B$7-$C$7)/$C$7*RADIANS(500))</f>
        <v>-16.1207365477032</v>
      </c>
      <c r="S35" s="17" t="n">
        <f aca="false">($B$7-$C$7)*COS(RADIANS(510))-$D$7*COS(($B$7-$C$7)/$C$7*RADIANS(510))</f>
        <v>-16.0491590949056</v>
      </c>
      <c r="T35" s="17" t="n">
        <f aca="false">($B$7-$C$7)*COS(RADIANS(520))-$D$7*COS(($B$7-$C$7)/$C$7*RADIANS(520))</f>
        <v>-15.2763114494309</v>
      </c>
      <c r="U35" s="17" t="n">
        <f aca="false">($B$7-$C$7)*COS(RADIANS(530))-$D$7*COS(($B$7-$C$7)/$C$7*RADIANS(530))</f>
        <v>-13.8882453969667</v>
      </c>
      <c r="V35" s="42" t="n">
        <f aca="false">($B$7-$C$7)*COS(RADIANS(540))-$D$7*COS(($B$7-$C$7)/$C$7*RADIANS(540))</f>
        <v>-12</v>
      </c>
    </row>
    <row r="36" customFormat="false" ht="12" hidden="false" customHeight="false" outlineLevel="0" collapsed="false">
      <c r="B36" s="23" t="s">
        <v>6</v>
      </c>
      <c r="C36" s="23"/>
      <c r="D36" s="17" t="n">
        <f aca="false">($B$7-$C$7)*SIN(RADIANS(360))-$D$7*SIN(($B$7-$C$7)/$C$7*RADIANS(360))</f>
        <v>-5.8783046359073E-015</v>
      </c>
      <c r="E36" s="17" t="n">
        <f aca="false">($B$7-$C$7)*SIN(RADIANS(370))-$D$7*SIN(($B$7-$C$7)/$C$7*RADIANS(370))</f>
        <v>4.15433049282332</v>
      </c>
      <c r="F36" s="17" t="n">
        <f aca="false">($B$7-$C$7)*SIN(RADIANS(380))-$D$7*SIN(($B$7-$C$7)/$C$7*RADIANS(380))</f>
        <v>8.10424171990803</v>
      </c>
      <c r="G36" s="17" t="n">
        <f aca="false">($B$7-$C$7)*SIN(RADIANS(390))-$D$7*SIN(($B$7-$C$7)/$C$7*RADIANS(390))</f>
        <v>11.6568542494924</v>
      </c>
      <c r="H36" s="17" t="n">
        <f aca="false">($B$7-$C$7)*SIN(RADIANS(400))-$D$7*SIN(($B$7-$C$7)/$C$7*RADIANS(400))</f>
        <v>14.641654546514</v>
      </c>
      <c r="I36" s="17" t="n">
        <f aca="false">($B$7-$C$7)*SIN(RADIANS(410))-$D$7*SIN(($B$7-$C$7)/$C$7*RADIANS(410))</f>
        <v>16.9199399277403</v>
      </c>
      <c r="J36" s="17" t="n">
        <f aca="false">($B$7-$C$7)*SIN(RADIANS(420))-$D$7*SIN(($B$7-$C$7)/$C$7*RADIANS(420))</f>
        <v>18.3923048454133</v>
      </c>
      <c r="K36" s="17" t="n">
        <f aca="false">($B$7-$C$7)*SIN(RADIANS(430))-$D$7*SIN(($B$7-$C$7)/$C$7*RADIANS(430))</f>
        <v>19.0037180597435</v>
      </c>
      <c r="L36" s="17" t="n">
        <f aca="false">($B$7-$C$7)*SIN(RADIANS(440))-$D$7*SIN(($B$7-$C$7)/$C$7*RADIANS(440))</f>
        <v>18.745896266422</v>
      </c>
      <c r="M36" s="17" t="n">
        <f aca="false">($B$7-$C$7)*SIN(RADIANS(450))-$D$7*SIN(($B$7-$C$7)/$C$7*RADIANS(450))</f>
        <v>17.6568542494924</v>
      </c>
      <c r="N36" s="17" t="n">
        <f aca="false">($B$7-$C$7)*SIN(RADIANS(460))-$D$7*SIN(($B$7-$C$7)/$C$7*RADIANS(460))</f>
        <v>15.8176930361465</v>
      </c>
      <c r="O36" s="17" t="n">
        <f aca="false">($B$7-$C$7)*SIN(RADIANS(470))-$D$7*SIN(($B$7-$C$7)/$C$7*RADIANS(470))</f>
        <v>13.3468638102511</v>
      </c>
      <c r="P36" s="17" t="n">
        <f aca="false">($B$7-$C$7)*SIN(RADIANS(480))-$D$7*SIN(($B$7-$C$7)/$C$7*RADIANS(480))</f>
        <v>10.3923048454133</v>
      </c>
      <c r="Q36" s="17" t="n">
        <f aca="false">($B$7-$C$7)*SIN(RADIANS(490))-$D$7*SIN(($B$7-$C$7)/$C$7*RADIANS(490))</f>
        <v>7.12198095660756</v>
      </c>
      <c r="R36" s="17" t="n">
        <f aca="false">($B$7-$C$7)*SIN(RADIANS(500))-$D$7*SIN(($B$7-$C$7)/$C$7*RADIANS(500))</f>
        <v>3.71345131623846</v>
      </c>
      <c r="S36" s="17" t="n">
        <f aca="false">($B$7-$C$7)*SIN(RADIANS(510))-$D$7*SIN(($B$7-$C$7)/$C$7*RADIANS(510))</f>
        <v>0.343145750507615</v>
      </c>
      <c r="T36" s="17" t="n">
        <f aca="false">($B$7-$C$7)*SIN(RADIANS(520))-$D$7*SIN(($B$7-$C$7)/$C$7*RADIANS(520))</f>
        <v>-2.82396151036748</v>
      </c>
      <c r="U36" s="17" t="n">
        <f aca="false">($B$7-$C$7)*SIN(RADIANS(530))-$D$7*SIN(($B$7-$C$7)/$C$7*RADIANS(530))</f>
        <v>-5.64362847830938</v>
      </c>
      <c r="V36" s="42" t="n">
        <f aca="false">($B$7-$C$7)*SIN(RADIANS(540))-$D$7*SIN(($B$7-$C$7)/$C$7*RADIANS(540))</f>
        <v>-8</v>
      </c>
    </row>
    <row r="38" customFormat="false" ht="12" hidden="false" customHeight="false" outlineLevel="0" collapsed="false">
      <c r="B38" s="23" t="s">
        <v>30</v>
      </c>
      <c r="C38" s="23"/>
      <c r="D38" s="41" t="s">
        <v>143</v>
      </c>
      <c r="E38" s="41" t="s">
        <v>144</v>
      </c>
      <c r="F38" s="41" t="s">
        <v>145</v>
      </c>
      <c r="G38" s="41" t="s">
        <v>146</v>
      </c>
      <c r="H38" s="41" t="s">
        <v>147</v>
      </c>
      <c r="I38" s="41" t="s">
        <v>148</v>
      </c>
      <c r="J38" s="41" t="s">
        <v>149</v>
      </c>
      <c r="K38" s="41" t="s">
        <v>150</v>
      </c>
      <c r="L38" s="41" t="s">
        <v>151</v>
      </c>
      <c r="M38" s="41" t="s">
        <v>152</v>
      </c>
      <c r="N38" s="41" t="s">
        <v>153</v>
      </c>
      <c r="O38" s="41" t="s">
        <v>154</v>
      </c>
      <c r="P38" s="41" t="s">
        <v>155</v>
      </c>
      <c r="Q38" s="41" t="s">
        <v>156</v>
      </c>
      <c r="R38" s="41" t="s">
        <v>157</v>
      </c>
      <c r="S38" s="41" t="s">
        <v>158</v>
      </c>
      <c r="T38" s="41" t="s">
        <v>159</v>
      </c>
      <c r="U38" s="41" t="s">
        <v>160</v>
      </c>
    </row>
    <row r="39" customFormat="false" ht="12" hidden="false" customHeight="false" outlineLevel="0" collapsed="false">
      <c r="B39" s="23" t="s">
        <v>48</v>
      </c>
      <c r="C39" s="23"/>
      <c r="D39" s="41" t="s">
        <v>161</v>
      </c>
      <c r="E39" s="41" t="s">
        <v>162</v>
      </c>
      <c r="F39" s="41" t="s">
        <v>163</v>
      </c>
      <c r="G39" s="41" t="s">
        <v>164</v>
      </c>
      <c r="H39" s="41" t="s">
        <v>165</v>
      </c>
      <c r="I39" s="41" t="s">
        <v>166</v>
      </c>
      <c r="J39" s="41" t="s">
        <v>167</v>
      </c>
      <c r="K39" s="41" t="s">
        <v>168</v>
      </c>
      <c r="L39" s="41" t="s">
        <v>169</v>
      </c>
      <c r="M39" s="41" t="s">
        <v>170</v>
      </c>
      <c r="N39" s="41" t="s">
        <v>171</v>
      </c>
      <c r="O39" s="41" t="s">
        <v>172</v>
      </c>
      <c r="P39" s="41" t="s">
        <v>173</v>
      </c>
      <c r="Q39" s="41" t="s">
        <v>174</v>
      </c>
      <c r="R39" s="41" t="s">
        <v>175</v>
      </c>
      <c r="S39" s="41" t="s">
        <v>176</v>
      </c>
      <c r="T39" s="41" t="s">
        <v>177</v>
      </c>
      <c r="U39" s="41" t="s">
        <v>178</v>
      </c>
    </row>
    <row r="40" customFormat="false" ht="12" hidden="false" customHeight="false" outlineLevel="0" collapsed="false">
      <c r="B40" s="23" t="s">
        <v>5</v>
      </c>
      <c r="C40" s="23"/>
      <c r="D40" s="17" t="n">
        <f aca="false">($B$7-$C$7)*COS(RADIANS(540))-$D$7*COS(($B$7-$C$7)/$C$7*RADIANS(540))</f>
        <v>-12</v>
      </c>
      <c r="E40" s="17" t="n">
        <f aca="false">($B$7-$C$7)*COS(RADIANS(550))-$D$7*COS(($B$7-$C$7)/$C$7*RADIANS(550))</f>
        <v>-9.74714067532634</v>
      </c>
      <c r="F40" s="17" t="n">
        <f aca="false">($B$7-$C$7)*COS(RADIANS(560))-$D$7*COS(($B$7-$C$7)/$C$7*RADIANS(560))</f>
        <v>-7.27631144943091</v>
      </c>
      <c r="G40" s="17" t="n">
        <f aca="false">($B$7-$C$7)*COS(RADIANS(570))-$D$7*COS(($B$7-$C$7)/$C$7*RADIANS(570))</f>
        <v>-4.7354505959209</v>
      </c>
      <c r="H40" s="17" t="n">
        <f aca="false">($B$7-$C$7)*COS(RADIANS(580))-$D$7*COS(($B$7-$C$7)/$C$7*RADIANS(580))</f>
        <v>-2.26433008715222</v>
      </c>
      <c r="I40" s="17" t="n">
        <f aca="false">($B$7-$C$7)*COS(RADIANS(590))-$D$7*COS(($B$7-$C$7)/$C$7*RADIANS(590))</f>
        <v>0.0139552940740808</v>
      </c>
      <c r="J40" s="17" t="n">
        <f aca="false">($B$7-$C$7)*COS(RADIANS(600))-$D$7*COS(($B$7-$C$7)/$C$7*RADIANS(600))</f>
        <v>2</v>
      </c>
      <c r="K40" s="17" t="n">
        <f aca="false">($B$7-$C$7)*COS(RADIANS(610))-$D$7*COS(($B$7-$C$7)/$C$7*RADIANS(610))</f>
        <v>3.62316489040452</v>
      </c>
      <c r="L40" s="17" t="n">
        <f aca="false">($B$7-$C$7)*COS(RADIANS(620))-$D$7*COS(($B$7-$C$7)/$C$7*RADIANS(620))</f>
        <v>4.84442509827235</v>
      </c>
      <c r="M40" s="17" t="n">
        <f aca="false">($B$7-$C$7)*COS(RADIANS(630))-$D$7*COS(($B$7-$C$7)/$C$7*RADIANS(630))</f>
        <v>5.65685424949237</v>
      </c>
      <c r="N40" s="17" t="n">
        <f aca="false">($B$7-$C$7)*COS(RADIANS(640))-$D$7*COS(($B$7-$C$7)/$C$7*RADIANS(640))</f>
        <v>6.08377813200317</v>
      </c>
      <c r="O40" s="17" t="n">
        <f aca="false">($B$7-$C$7)*COS(RADIANS(650))-$D$7*COS(($B$7-$C$7)/$C$7*RADIANS(650))</f>
        <v>6.17479408072818</v>
      </c>
      <c r="P40" s="17" t="n">
        <f aca="false">($B$7-$C$7)*COS(RADIANS(660))-$D$7*COS(($B$7-$C$7)/$C$7*RADIANS(660))</f>
        <v>6.00000000000001</v>
      </c>
      <c r="Q40" s="17" t="n">
        <f aca="false">($B$7-$C$7)*COS(RADIANS(670))-$D$7*COS(($B$7-$C$7)/$C$7*RADIANS(670))</f>
        <v>5.64289895541832</v>
      </c>
      <c r="R40" s="17" t="n">
        <f aca="false">($B$7-$C$7)*COS(RADIANS(680))-$D$7*COS(($B$7-$C$7)/$C$7*RADIANS(680))</f>
        <v>5.19253331742774</v>
      </c>
      <c r="S40" s="17" t="n">
        <f aca="false">($B$7-$C$7)*COS(RADIANS(690))-$D$7*COS(($B$7-$C$7)/$C$7*RADIANS(690))</f>
        <v>4.73545059592087</v>
      </c>
      <c r="T40" s="17" t="n">
        <f aca="false">($B$7-$C$7)*COS(RADIANS(700))-$D$7*COS(($B$7-$C$7)/$C$7*RADIANS(700))</f>
        <v>4.34810821915539</v>
      </c>
      <c r="U40" s="17" t="n">
        <f aca="false">($B$7-$C$7)*COS(RADIANS(710))-$D$7*COS(($B$7-$C$7)/$C$7*RADIANS(710))</f>
        <v>4.09028642583395</v>
      </c>
      <c r="V40" s="42" t="n">
        <f aca="false">($B$7-$C$7)*COS(RADIANS(720))-$D$7*COS(($B$7-$C$7)/$C$7*RADIANS(720))</f>
        <v>4</v>
      </c>
    </row>
    <row r="41" customFormat="false" ht="12" hidden="false" customHeight="false" outlineLevel="0" collapsed="false">
      <c r="B41" s="23" t="s">
        <v>6</v>
      </c>
      <c r="C41" s="23"/>
      <c r="D41" s="17" t="n">
        <f aca="false">($B$7-$C$7)*SIN(RADIANS(540))-$D$7*SIN(($B$7-$C$7)/$C$7*RADIANS(540))</f>
        <v>-8</v>
      </c>
      <c r="E41" s="17" t="n">
        <f aca="false">($B$7-$C$7)*SIN(RADIANS(550))-$D$7*SIN(($B$7-$C$7)/$C$7*RADIANS(550))</f>
        <v>-9.81118474231571</v>
      </c>
      <c r="F41" s="17" t="n">
        <f aca="false">($B$7-$C$7)*SIN(RADIANS(560))-$D$7*SIN(($B$7-$C$7)/$C$7*RADIANS(560))</f>
        <v>-11.0324449501835</v>
      </c>
      <c r="G41" s="17" t="n">
        <f aca="false">($B$7-$C$7)*SIN(RADIANS(570))-$D$7*SIN(($B$7-$C$7)/$C$7*RADIANS(570))</f>
        <v>-11.6568542494924</v>
      </c>
      <c r="H41" s="17" t="n">
        <f aca="false">($B$7-$C$7)*SIN(RADIANS(580))-$D$7*SIN(($B$7-$C$7)/$C$7*RADIANS(580))</f>
        <v>-11.7134513162385</v>
      </c>
      <c r="I41" s="17" t="n">
        <f aca="false">($B$7-$C$7)*SIN(RADIANS(590))-$D$7*SIN(($B$7-$C$7)/$C$7*RADIANS(590))</f>
        <v>-11.2630856782479</v>
      </c>
      <c r="J41" s="17" t="n">
        <f aca="false">($B$7-$C$7)*SIN(RADIANS(600))-$D$7*SIN(($B$7-$C$7)/$C$7*RADIANS(600))</f>
        <v>-10.3923048454133</v>
      </c>
      <c r="K41" s="17" t="n">
        <f aca="false">($B$7-$C$7)*SIN(RADIANS(610))-$D$7*SIN(($B$7-$C$7)/$C$7*RADIANS(610))</f>
        <v>-9.20575908861073</v>
      </c>
      <c r="L41" s="17" t="n">
        <f aca="false">($B$7-$C$7)*SIN(RADIANS(620))-$D$7*SIN(($B$7-$C$7)/$C$7*RADIANS(620))</f>
        <v>-7.81769303614651</v>
      </c>
      <c r="M41" s="17" t="n">
        <f aca="false">($B$7-$C$7)*SIN(RADIANS(630))-$D$7*SIN(($B$7-$C$7)/$C$7*RADIANS(630))</f>
        <v>-6.34314575050762</v>
      </c>
      <c r="N41" s="17" t="n">
        <f aca="false">($B$7-$C$7)*SIN(RADIANS(640))-$D$7*SIN(($B$7-$C$7)/$C$7*RADIANS(640))</f>
        <v>-4.889489805871</v>
      </c>
      <c r="O41" s="17" t="n">
        <f aca="false">($B$7-$C$7)*SIN(RADIANS(650))-$D$7*SIN(($B$7-$C$7)/$C$7*RADIANS(650))</f>
        <v>-3.54890483911836</v>
      </c>
      <c r="P41" s="17" t="n">
        <f aca="false">($B$7-$C$7)*SIN(RADIANS(660))-$D$7*SIN(($B$7-$C$7)/$C$7*RADIANS(660))</f>
        <v>-2.39230484541327</v>
      </c>
      <c r="Q41" s="17" t="n">
        <f aca="false">($B$7-$C$7)*SIN(RADIANS(670))-$D$7*SIN(($B$7-$C$7)/$C$7*RADIANS(670))</f>
        <v>-1.46512670711518</v>
      </c>
      <c r="R41" s="17" t="n">
        <f aca="false">($B$7-$C$7)*SIN(RADIANS(680))-$D$7*SIN(($B$7-$C$7)/$C$7*RADIANS(680))</f>
        <v>-0.785248085962961</v>
      </c>
      <c r="S41" s="17" t="n">
        <f aca="false">($B$7-$C$7)*SIN(RADIANS(690))-$D$7*SIN(($B$7-$C$7)/$C$7*RADIANS(690))</f>
        <v>-0.343145750507629</v>
      </c>
      <c r="T41" s="17" t="n">
        <f aca="false">($B$7-$C$7)*SIN(RADIANS(700))-$D$7*SIN(($B$7-$C$7)/$C$7*RADIANS(700))</f>
        <v>-0.104241719908025</v>
      </c>
      <c r="U41" s="17" t="n">
        <f aca="false">($B$7-$C$7)*SIN(RADIANS(710))-$D$7*SIN(($B$7-$C$7)/$C$7*RADIANS(710))</f>
        <v>-0.0132257711829844</v>
      </c>
      <c r="V41" s="42" t="n">
        <f aca="false">($B$7-$C$7)*SIN(RADIANS(720))-$D$7*SIN(($B$7-$C$7)/$C$7*RADIANS(720))</f>
        <v>0</v>
      </c>
    </row>
    <row r="43" customFormat="false" ht="12" hidden="false" customHeight="false" outlineLevel="0" collapsed="false">
      <c r="B43" s="8" t="s">
        <v>30</v>
      </c>
      <c r="C43" s="8"/>
      <c r="D43" s="44" t="n">
        <v>0</v>
      </c>
      <c r="E43" s="44" t="s">
        <v>31</v>
      </c>
      <c r="F43" s="8" t="s">
        <v>32</v>
      </c>
      <c r="G43" s="8" t="s">
        <v>33</v>
      </c>
      <c r="H43" s="8" t="s">
        <v>34</v>
      </c>
      <c r="I43" s="8" t="s">
        <v>35</v>
      </c>
      <c r="J43" s="44" t="s">
        <v>36</v>
      </c>
      <c r="K43" s="44" t="s">
        <v>37</v>
      </c>
      <c r="L43" s="44" t="s">
        <v>38</v>
      </c>
      <c r="M43" s="44" t="s">
        <v>39</v>
      </c>
      <c r="N43" s="44" t="s">
        <v>40</v>
      </c>
      <c r="O43" s="44" t="s">
        <v>41</v>
      </c>
      <c r="P43" s="44" t="s">
        <v>42</v>
      </c>
      <c r="Q43" s="44" t="s">
        <v>43</v>
      </c>
      <c r="R43" s="44" t="s">
        <v>44</v>
      </c>
      <c r="S43" s="44" t="s">
        <v>45</v>
      </c>
      <c r="T43" s="44" t="s">
        <v>46</v>
      </c>
      <c r="U43" s="44" t="s">
        <v>47</v>
      </c>
    </row>
    <row r="44" customFormat="false" ht="12" hidden="false" customHeight="false" outlineLevel="0" collapsed="false">
      <c r="B44" s="8" t="s">
        <v>48</v>
      </c>
      <c r="C44" s="8"/>
      <c r="D44" s="44" t="s">
        <v>49</v>
      </c>
      <c r="E44" s="8" t="s">
        <v>50</v>
      </c>
      <c r="F44" s="8" t="s">
        <v>51</v>
      </c>
      <c r="G44" s="8" t="s">
        <v>52</v>
      </c>
      <c r="H44" s="8" t="s">
        <v>53</v>
      </c>
      <c r="I44" s="8" t="s">
        <v>54</v>
      </c>
      <c r="J44" s="8" t="s">
        <v>55</v>
      </c>
      <c r="K44" s="44" t="s">
        <v>56</v>
      </c>
      <c r="L44" s="44" t="s">
        <v>57</v>
      </c>
      <c r="M44" s="44" t="s">
        <v>58</v>
      </c>
      <c r="N44" s="44" t="s">
        <v>59</v>
      </c>
      <c r="O44" s="44" t="s">
        <v>60</v>
      </c>
      <c r="P44" s="44" t="s">
        <v>61</v>
      </c>
      <c r="Q44" s="44" t="s">
        <v>62</v>
      </c>
      <c r="R44" s="44" t="s">
        <v>63</v>
      </c>
      <c r="S44" s="44" t="s">
        <v>64</v>
      </c>
      <c r="T44" s="44" t="s">
        <v>65</v>
      </c>
      <c r="U44" s="44" t="s">
        <v>66</v>
      </c>
    </row>
    <row r="45" customFormat="false" ht="12" hidden="false" customHeight="false" outlineLevel="0" collapsed="false">
      <c r="B45" s="8" t="s">
        <v>5</v>
      </c>
      <c r="C45" s="8"/>
      <c r="D45" s="30" t="n">
        <f aca="false">$B$7*(COS(RADIANS(0)))</f>
        <v>20</v>
      </c>
      <c r="E45" s="30" t="n">
        <f aca="false">$B$7*(COS(RADIANS(10)))</f>
        <v>19.6961550602442</v>
      </c>
      <c r="F45" s="30" t="n">
        <f aca="false">$B$7*(COS(RADIANS(20)))</f>
        <v>18.7938524157182</v>
      </c>
      <c r="G45" s="30" t="n">
        <f aca="false">$B$7*(COS(RADIANS(30)))</f>
        <v>17.3205080756888</v>
      </c>
      <c r="H45" s="30" t="n">
        <f aca="false">$B$7*(COS(RADIANS(40)))</f>
        <v>15.3208888623796</v>
      </c>
      <c r="I45" s="30" t="n">
        <f aca="false">$B$7*(COS(RADIANS(50)))</f>
        <v>12.8557521937308</v>
      </c>
      <c r="J45" s="30" t="n">
        <f aca="false">$B$7*(COS(RADIANS(60)))</f>
        <v>10</v>
      </c>
      <c r="K45" s="30" t="n">
        <f aca="false">$B$7*(COS(RADIANS(70)))</f>
        <v>6.84040286651338</v>
      </c>
      <c r="L45" s="30" t="n">
        <f aca="false">$B$7*(COS(RADIANS(80)))</f>
        <v>3.47296355333861</v>
      </c>
      <c r="M45" s="30" t="n">
        <f aca="false">$B$7*(COS(RADIANS(90)))</f>
        <v>1.22464679914735E-015</v>
      </c>
      <c r="N45" s="30" t="n">
        <f aca="false">$B$7*(COS(RADIANS(100)))</f>
        <v>-3.47296355333861</v>
      </c>
      <c r="O45" s="30" t="n">
        <f aca="false">$B$7*(COS(RADIANS(110)))</f>
        <v>-6.84040286651337</v>
      </c>
      <c r="P45" s="30" t="n">
        <f aca="false">$B$7*(COS(RADIANS(120)))</f>
        <v>-10</v>
      </c>
      <c r="Q45" s="30" t="n">
        <f aca="false">$B$7*(COS(RADIANS(130)))</f>
        <v>-12.8557521937308</v>
      </c>
      <c r="R45" s="30" t="n">
        <f aca="false">$B$7*(COS(RADIANS(140)))</f>
        <v>-15.3208888623796</v>
      </c>
      <c r="S45" s="30" t="n">
        <f aca="false">$B$7*(COS(RADIANS(150)))</f>
        <v>-17.3205080756888</v>
      </c>
      <c r="T45" s="30" t="n">
        <f aca="false">$B$7*(COS(RADIANS(160)))</f>
        <v>-18.7938524157182</v>
      </c>
      <c r="U45" s="30" t="n">
        <f aca="false">$B$7*(COS(RADIANS(170)))</f>
        <v>-19.6961550602442</v>
      </c>
      <c r="V45" s="42" t="n">
        <f aca="false">$B$7*(COS(RADIANS(180)))</f>
        <v>-20</v>
      </c>
    </row>
    <row r="46" customFormat="false" ht="12" hidden="false" customHeight="false" outlineLevel="0" collapsed="false">
      <c r="B46" s="8" t="s">
        <v>6</v>
      </c>
      <c r="C46" s="8"/>
      <c r="D46" s="30" t="n">
        <f aca="false">$B$7*(SIN(RADIANS(0)))</f>
        <v>0</v>
      </c>
      <c r="E46" s="30" t="n">
        <f aca="false">$B$7*(SIN(RADIANS(10)))</f>
        <v>3.47296355333861</v>
      </c>
      <c r="F46" s="30" t="n">
        <f aca="false">$B$7*(SIN(RADIANS(20)))</f>
        <v>6.84040286651337</v>
      </c>
      <c r="G46" s="30" t="n">
        <f aca="false">$B$7*(SIN(RADIANS(30)))</f>
        <v>10</v>
      </c>
      <c r="H46" s="30" t="n">
        <f aca="false">$B$7*(SIN(RADIANS(40)))</f>
        <v>12.8557521937308</v>
      </c>
      <c r="I46" s="30" t="n">
        <f aca="false">$B$7*(SIN(RADIANS(50)))</f>
        <v>15.3208888623796</v>
      </c>
      <c r="J46" s="30" t="n">
        <f aca="false">$B$7*(SIN(RADIANS(60)))</f>
        <v>17.3205080756888</v>
      </c>
      <c r="K46" s="30" t="n">
        <f aca="false">$B$7*(SIN(RADIANS(70)))</f>
        <v>18.7938524157182</v>
      </c>
      <c r="L46" s="30" t="n">
        <f aca="false">$B$7*(SIN(RADIANS(80)))</f>
        <v>19.6961550602442</v>
      </c>
      <c r="M46" s="30" t="n">
        <f aca="false">$B$7*(SIN(RADIANS(90)))</f>
        <v>20</v>
      </c>
      <c r="N46" s="30" t="n">
        <f aca="false">$B$7*(SIN(RADIANS(100)))</f>
        <v>19.6961550602442</v>
      </c>
      <c r="O46" s="30" t="n">
        <f aca="false">$B$7*(SIN(RADIANS(110)))</f>
        <v>18.7938524157182</v>
      </c>
      <c r="P46" s="30" t="n">
        <f aca="false">$B$7*(SIN(RADIANS(120)))</f>
        <v>17.3205080756888</v>
      </c>
      <c r="Q46" s="30" t="n">
        <f aca="false">$B$7*(SIN(RADIANS(130)))</f>
        <v>15.3208888623796</v>
      </c>
      <c r="R46" s="30" t="n">
        <f aca="false">$B$7*(SIN(RADIANS(140)))</f>
        <v>12.8557521937308</v>
      </c>
      <c r="S46" s="30" t="n">
        <f aca="false">$B$7*(SIN(RADIANS(150)))</f>
        <v>10</v>
      </c>
      <c r="T46" s="30" t="n">
        <f aca="false">$B$7*(SIN(RADIANS(160)))</f>
        <v>6.84040286651338</v>
      </c>
      <c r="U46" s="30" t="n">
        <f aca="false">$B$7*(SIN(RADIANS(170)))</f>
        <v>3.47296355333861</v>
      </c>
      <c r="V46" s="42" t="n">
        <f aca="false">$B$7*(SIN(RADIANS(180)))</f>
        <v>2.44929359829471E-015</v>
      </c>
    </row>
    <row r="48" customFormat="false" ht="12" hidden="false" customHeight="false" outlineLevel="0" collapsed="false">
      <c r="B48" s="8" t="s">
        <v>30</v>
      </c>
      <c r="C48" s="8"/>
      <c r="D48" s="44" t="s">
        <v>67</v>
      </c>
      <c r="E48" s="44" t="s">
        <v>68</v>
      </c>
      <c r="F48" s="44" t="s">
        <v>69</v>
      </c>
      <c r="G48" s="44" t="s">
        <v>70</v>
      </c>
      <c r="H48" s="44" t="s">
        <v>71</v>
      </c>
      <c r="I48" s="44" t="s">
        <v>72</v>
      </c>
      <c r="J48" s="44" t="s">
        <v>73</v>
      </c>
      <c r="K48" s="44" t="s">
        <v>74</v>
      </c>
      <c r="L48" s="44" t="s">
        <v>75</v>
      </c>
      <c r="M48" s="44" t="s">
        <v>76</v>
      </c>
      <c r="N48" s="44" t="s">
        <v>77</v>
      </c>
      <c r="O48" s="44" t="s">
        <v>78</v>
      </c>
      <c r="P48" s="44" t="s">
        <v>79</v>
      </c>
      <c r="Q48" s="44" t="s">
        <v>80</v>
      </c>
      <c r="R48" s="44" t="s">
        <v>81</v>
      </c>
      <c r="S48" s="44" t="s">
        <v>82</v>
      </c>
      <c r="T48" s="44" t="s">
        <v>83</v>
      </c>
      <c r="U48" s="44" t="s">
        <v>84</v>
      </c>
    </row>
    <row r="49" customFormat="false" ht="12" hidden="false" customHeight="false" outlineLevel="0" collapsed="false">
      <c r="B49" s="8" t="s">
        <v>48</v>
      </c>
      <c r="C49" s="8"/>
      <c r="D49" s="44" t="s">
        <v>85</v>
      </c>
      <c r="E49" s="44" t="s">
        <v>86</v>
      </c>
      <c r="F49" s="44" t="s">
        <v>87</v>
      </c>
      <c r="G49" s="44" t="s">
        <v>88</v>
      </c>
      <c r="H49" s="44" t="s">
        <v>89</v>
      </c>
      <c r="I49" s="44" t="s">
        <v>90</v>
      </c>
      <c r="J49" s="44" t="s">
        <v>91</v>
      </c>
      <c r="K49" s="44" t="s">
        <v>92</v>
      </c>
      <c r="L49" s="44" t="s">
        <v>93</v>
      </c>
      <c r="M49" s="44" t="s">
        <v>94</v>
      </c>
      <c r="N49" s="44" t="s">
        <v>95</v>
      </c>
      <c r="O49" s="44" t="s">
        <v>96</v>
      </c>
      <c r="P49" s="44" t="s">
        <v>97</v>
      </c>
      <c r="Q49" s="44" t="s">
        <v>98</v>
      </c>
      <c r="R49" s="44" t="s">
        <v>99</v>
      </c>
      <c r="S49" s="44" t="s">
        <v>100</v>
      </c>
      <c r="T49" s="44" t="s">
        <v>101</v>
      </c>
      <c r="U49" s="44" t="s">
        <v>102</v>
      </c>
    </row>
    <row r="50" customFormat="false" ht="12" hidden="false" customHeight="false" outlineLevel="0" collapsed="false">
      <c r="B50" s="8" t="s">
        <v>5</v>
      </c>
      <c r="C50" s="8"/>
      <c r="D50" s="30" t="n">
        <f aca="false">$B$7*(COS(RADIANS(180)))</f>
        <v>-20</v>
      </c>
      <c r="E50" s="30" t="n">
        <f aca="false">$B$7*(COS(RADIANS(190)))</f>
        <v>-19.6961550602442</v>
      </c>
      <c r="F50" s="30" t="n">
        <f aca="false">$B$7*(COS(RADIANS(200)))</f>
        <v>-18.7938524157182</v>
      </c>
      <c r="G50" s="30" t="n">
        <f aca="false">$B$7*(COS(RADIANS(210)))</f>
        <v>-17.3205080756888</v>
      </c>
      <c r="H50" s="30" t="n">
        <f aca="false">$B$7*(COS(RADIANS(220)))</f>
        <v>-15.3208888623796</v>
      </c>
      <c r="I50" s="30" t="n">
        <f aca="false">$B$7*(COS(RADIANS(230)))</f>
        <v>-12.8557521937308</v>
      </c>
      <c r="J50" s="30" t="n">
        <f aca="false">$B$7*(COS(RADIANS(240)))</f>
        <v>-10</v>
      </c>
      <c r="K50" s="30" t="n">
        <f aca="false">$B$7*(COS(RADIANS(250)))</f>
        <v>-6.84040286651337</v>
      </c>
      <c r="L50" s="30" t="n">
        <f aca="false">$B$7*(COS(RADIANS(260)))</f>
        <v>-3.47296355333861</v>
      </c>
      <c r="M50" s="30" t="n">
        <f aca="false">$B$7*(COS(RADIANS(270)))</f>
        <v>-3.67394039744206E-015</v>
      </c>
      <c r="N50" s="30" t="n">
        <f aca="false">$B$7*(COS(RADIANS(280)))</f>
        <v>3.4729635533386</v>
      </c>
      <c r="O50" s="30" t="n">
        <f aca="false">$B$7*(COS(RADIANS(290)))</f>
        <v>6.84040286651338</v>
      </c>
      <c r="P50" s="30" t="n">
        <f aca="false">$B$7*(COS(RADIANS(300)))</f>
        <v>10</v>
      </c>
      <c r="Q50" s="30" t="n">
        <f aca="false">$B$7*(COS(RADIANS(310)))</f>
        <v>12.8557521937308</v>
      </c>
      <c r="R50" s="30" t="n">
        <f aca="false">$B$7*(COS(RADIANS(320)))</f>
        <v>15.3208888623796</v>
      </c>
      <c r="S50" s="30" t="n">
        <f aca="false">$B$7*(COS(RADIANS(330)))</f>
        <v>17.3205080756888</v>
      </c>
      <c r="T50" s="30" t="n">
        <f aca="false">$B$7*(COS(RADIANS(340)))</f>
        <v>18.7938524157182</v>
      </c>
      <c r="U50" s="30" t="n">
        <f aca="false">$B$7*(COS(RADIANS(350)))</f>
        <v>19.6961550602442</v>
      </c>
      <c r="V50" s="42" t="n">
        <f aca="false">$B$7*(COS(RADIANS(360)))</f>
        <v>20</v>
      </c>
    </row>
    <row r="51" customFormat="false" ht="12" hidden="false" customHeight="false" outlineLevel="0" collapsed="false">
      <c r="B51" s="8" t="s">
        <v>6</v>
      </c>
      <c r="C51" s="8"/>
      <c r="D51" s="30" t="n">
        <f aca="false">$B$7*(SIN(RADIANS(180)))</f>
        <v>2.44929359829471E-015</v>
      </c>
      <c r="E51" s="30" t="n">
        <f aca="false">$B$7*(SIN(RADIANS(190)))</f>
        <v>-3.47296355333861</v>
      </c>
      <c r="F51" s="30" t="n">
        <f aca="false">$B$7*(SIN(RADIANS(200)))</f>
        <v>-6.84040286651337</v>
      </c>
      <c r="G51" s="30" t="n">
        <f aca="false">$B$7*(SIN(RADIANS(210)))</f>
        <v>-10</v>
      </c>
      <c r="H51" s="30" t="n">
        <f aca="false">$B$7*(SIN(RADIANS(220)))</f>
        <v>-12.8557521937308</v>
      </c>
      <c r="I51" s="30" t="n">
        <f aca="false">$B$7*(SIN(RADIANS(230)))</f>
        <v>-15.3208888623796</v>
      </c>
      <c r="J51" s="30" t="n">
        <f aca="false">$B$7*(SIN(RADIANS(240)))</f>
        <v>-17.3205080756888</v>
      </c>
      <c r="K51" s="30" t="n">
        <f aca="false">$B$7*(SIN(RADIANS(250)))</f>
        <v>-18.7938524157182</v>
      </c>
      <c r="L51" s="30" t="n">
        <f aca="false">$B$7*(SIN(RADIANS(260)))</f>
        <v>-19.6961550602442</v>
      </c>
      <c r="M51" s="30" t="n">
        <f aca="false">$B$7*(SIN(RADIANS(270)))</f>
        <v>-20</v>
      </c>
      <c r="N51" s="30" t="n">
        <f aca="false">$B$7*(SIN(RADIANS(280)))</f>
        <v>-19.6961550602442</v>
      </c>
      <c r="O51" s="30" t="n">
        <f aca="false">$B$7*(SIN(RADIANS(290)))</f>
        <v>-18.7938524157182</v>
      </c>
      <c r="P51" s="30" t="n">
        <f aca="false">$B$7*(SIN(RADIANS(300)))</f>
        <v>-17.3205080756888</v>
      </c>
      <c r="Q51" s="30" t="n">
        <f aca="false">$B$7*(SIN(RADIANS(310)))</f>
        <v>-15.3208888623796</v>
      </c>
      <c r="R51" s="30" t="n">
        <f aca="false">$B$7*(SIN(RADIANS(320)))</f>
        <v>-12.8557521937308</v>
      </c>
      <c r="S51" s="30" t="n">
        <f aca="false">$B$7*(SIN(RADIANS(330)))</f>
        <v>-10</v>
      </c>
      <c r="T51" s="30" t="n">
        <f aca="false">$B$7*(SIN(RADIANS(340)))</f>
        <v>-6.84040286651337</v>
      </c>
      <c r="U51" s="30" t="n">
        <f aca="false">$B$7*(SIN(RADIANS(350)))</f>
        <v>-3.47296355333861</v>
      </c>
      <c r="V51" s="42" t="n">
        <f aca="false">$B$7*(SIN(RADIANS(360)))</f>
        <v>-4.89858719658941E-015</v>
      </c>
    </row>
    <row r="53" customFormat="false" ht="12.8" hidden="false" customHeight="false" outlineLevel="0" collapsed="false">
      <c r="B53" s="31" t="s">
        <v>30</v>
      </c>
      <c r="C53" s="31"/>
      <c r="D53" s="46" t="n">
        <v>0</v>
      </c>
      <c r="E53" s="46" t="s">
        <v>31</v>
      </c>
      <c r="F53" s="31" t="s">
        <v>32</v>
      </c>
      <c r="G53" s="31" t="s">
        <v>33</v>
      </c>
      <c r="H53" s="31" t="s">
        <v>34</v>
      </c>
      <c r="I53" s="31" t="s">
        <v>35</v>
      </c>
      <c r="J53" s="46" t="s">
        <v>36</v>
      </c>
      <c r="K53" s="46" t="s">
        <v>37</v>
      </c>
      <c r="L53" s="46" t="s">
        <v>38</v>
      </c>
      <c r="M53" s="46" t="s">
        <v>39</v>
      </c>
      <c r="N53" s="46" t="s">
        <v>40</v>
      </c>
      <c r="O53" s="46" t="s">
        <v>41</v>
      </c>
      <c r="P53" s="46" t="s">
        <v>42</v>
      </c>
      <c r="Q53" s="46" t="s">
        <v>43</v>
      </c>
      <c r="R53" s="46" t="s">
        <v>44</v>
      </c>
      <c r="S53" s="46" t="s">
        <v>45</v>
      </c>
      <c r="T53" s="46" t="s">
        <v>46</v>
      </c>
      <c r="U53" s="46" t="s">
        <v>47</v>
      </c>
    </row>
    <row r="54" customFormat="false" ht="12.8" hidden="false" customHeight="false" outlineLevel="0" collapsed="false">
      <c r="B54" s="31" t="s">
        <v>48</v>
      </c>
      <c r="C54" s="31"/>
      <c r="D54" s="46" t="s">
        <v>49</v>
      </c>
      <c r="E54" s="31" t="s">
        <v>50</v>
      </c>
      <c r="F54" s="31" t="s">
        <v>51</v>
      </c>
      <c r="G54" s="31" t="s">
        <v>52</v>
      </c>
      <c r="H54" s="31" t="s">
        <v>53</v>
      </c>
      <c r="I54" s="31" t="s">
        <v>54</v>
      </c>
      <c r="J54" s="31" t="s">
        <v>55</v>
      </c>
      <c r="K54" s="46" t="s">
        <v>56</v>
      </c>
      <c r="L54" s="46" t="s">
        <v>57</v>
      </c>
      <c r="M54" s="46" t="s">
        <v>58</v>
      </c>
      <c r="N54" s="46" t="s">
        <v>59</v>
      </c>
      <c r="O54" s="46" t="s">
        <v>60</v>
      </c>
      <c r="P54" s="46" t="s">
        <v>61</v>
      </c>
      <c r="Q54" s="46" t="s">
        <v>62</v>
      </c>
      <c r="R54" s="46" t="s">
        <v>63</v>
      </c>
      <c r="S54" s="46" t="s">
        <v>64</v>
      </c>
      <c r="T54" s="46" t="s">
        <v>65</v>
      </c>
      <c r="U54" s="46" t="s">
        <v>66</v>
      </c>
    </row>
    <row r="55" customFormat="false" ht="12.8" hidden="false" customHeight="false" outlineLevel="0" collapsed="false">
      <c r="B55" s="31" t="s">
        <v>5</v>
      </c>
      <c r="C55" s="31"/>
      <c r="D55" s="47" t="n">
        <f aca="false">$C$7*(COS(RADIANS(0)))+$B$7-$C$7</f>
        <v>20</v>
      </c>
      <c r="E55" s="47" t="n">
        <f aca="false">$C$7*(COS(RADIANS(10)))+$B$7-$C$7</f>
        <v>19.8784620240977</v>
      </c>
      <c r="F55" s="47" t="n">
        <f aca="false">$C$7*(COS(RADIANS(20)))+$B$7-$C$7</f>
        <v>19.5175409662873</v>
      </c>
      <c r="G55" s="47" t="n">
        <f aca="false">$C$7*(COS(RADIANS(30)))+$B$7-$C$7</f>
        <v>18.9282032302755</v>
      </c>
      <c r="H55" s="47" t="n">
        <f aca="false">$C$7*(COS(RADIANS(40)))+$B$7-$C$7</f>
        <v>18.1283555449518</v>
      </c>
      <c r="I55" s="47" t="n">
        <f aca="false">$C$7*(COS(RADIANS(50)))+$B$7-$C$7</f>
        <v>17.1423008774923</v>
      </c>
      <c r="J55" s="47" t="n">
        <f aca="false">$C$7*(COS(RADIANS(60)))+$B$7-$C$7</f>
        <v>16</v>
      </c>
      <c r="K55" s="47" t="n">
        <f aca="false">$C$7*(COS(RADIANS(70)))+$B$7-$C$7</f>
        <v>14.7361611466054</v>
      </c>
      <c r="L55" s="47" t="n">
        <f aca="false">$C$7*(COS(RADIANS(80)))+$B$7-$C$7</f>
        <v>13.3891854213354</v>
      </c>
      <c r="M55" s="47" t="n">
        <f aca="false">$C$7*(COS(RADIANS(90)))+$B$7-$C$7</f>
        <v>12</v>
      </c>
      <c r="N55" s="47" t="n">
        <f aca="false">$C$7*(COS(RADIANS(100)))+$B$7-$C$7</f>
        <v>10.6108145786646</v>
      </c>
      <c r="O55" s="47" t="n">
        <f aca="false">$C$7*(COS(RADIANS(110)))+$B$7-$C$7</f>
        <v>9.26383885339465</v>
      </c>
      <c r="P55" s="47" t="n">
        <f aca="false">$C$7*(COS(RADIANS(120)))+$B$7-$C$7</f>
        <v>8</v>
      </c>
      <c r="Q55" s="47" t="n">
        <f aca="false">$C$7*(COS(RADIANS(130)))+$B$7-$C$7</f>
        <v>6.85769912250769</v>
      </c>
      <c r="R55" s="47" t="n">
        <f aca="false">$C$7*(COS(RADIANS(140)))+$B$7-$C$7</f>
        <v>5.87164445504818</v>
      </c>
      <c r="S55" s="47" t="n">
        <f aca="false">$C$7*(COS(RADIANS(150)))+$B$7-$C$7</f>
        <v>5.07179676972449</v>
      </c>
      <c r="T55" s="47" t="n">
        <f aca="false">$C$7*(COS(RADIANS(160)))+$B$7-$C$7</f>
        <v>4.48245903371273</v>
      </c>
      <c r="U55" s="47" t="n">
        <f aca="false">$C$7*(COS(RADIANS(170)))+$B$7-$C$7</f>
        <v>4.12153797590234</v>
      </c>
      <c r="V55" s="42" t="n">
        <f aca="false">$C$7*(COS(RADIANS(180)))+$B$7-$C$7</f>
        <v>4</v>
      </c>
    </row>
    <row r="56" customFormat="false" ht="12.8" hidden="false" customHeight="false" outlineLevel="0" collapsed="false">
      <c r="B56" s="31" t="s">
        <v>6</v>
      </c>
      <c r="C56" s="31"/>
      <c r="D56" s="48" t="n">
        <f aca="false">$C$7*(SIN(RADIANS(0)))</f>
        <v>0</v>
      </c>
      <c r="E56" s="47" t="n">
        <f aca="false">$C$7*(SIN(RADIANS(10)))</f>
        <v>1.38918542133544</v>
      </c>
      <c r="F56" s="47" t="n">
        <f aca="false">$C$7*(SIN(RADIANS(20)))</f>
        <v>2.73616114660535</v>
      </c>
      <c r="G56" s="47" t="n">
        <f aca="false">$C$7*(SIN(RADIANS(30)))</f>
        <v>4</v>
      </c>
      <c r="H56" s="47" t="n">
        <f aca="false">$C$7*(SIN(RADIANS(40)))</f>
        <v>5.14230087749231</v>
      </c>
      <c r="I56" s="47" t="n">
        <f aca="false">$C$7*(SIN(RADIANS(50)))</f>
        <v>6.12835554495182</v>
      </c>
      <c r="J56" s="47" t="n">
        <f aca="false">$C$7*(SIN(RADIANS(60)))</f>
        <v>6.92820323027551</v>
      </c>
      <c r="K56" s="47" t="n">
        <f aca="false">$C$7*(SIN(RADIANS(70)))</f>
        <v>7.51754096628727</v>
      </c>
      <c r="L56" s="47" t="n">
        <f aca="false">$C$7*(SIN(RADIANS(80)))</f>
        <v>7.87846202409766</v>
      </c>
      <c r="M56" s="47" t="n">
        <f aca="false">$C$7*(SIN(RADIANS(90)))</f>
        <v>8</v>
      </c>
      <c r="N56" s="47" t="n">
        <f aca="false">$C$7*(SIN(RADIANS(100)))</f>
        <v>7.87846202409766</v>
      </c>
      <c r="O56" s="47" t="n">
        <f aca="false">$C$7*(SIN(RADIANS(110)))</f>
        <v>7.51754096628727</v>
      </c>
      <c r="P56" s="47" t="n">
        <f aca="false">$C$7*(SIN(RADIANS(120)))</f>
        <v>6.92820323027551</v>
      </c>
      <c r="Q56" s="47" t="n">
        <f aca="false">$C$7*(SIN(RADIANS(130)))</f>
        <v>6.12835554495182</v>
      </c>
      <c r="R56" s="47" t="n">
        <f aca="false">$C$7*(SIN(RADIANS(140)))</f>
        <v>5.14230087749232</v>
      </c>
      <c r="S56" s="47" t="n">
        <f aca="false">$C$7*(SIN(RADIANS(150)))</f>
        <v>4</v>
      </c>
      <c r="T56" s="47" t="n">
        <f aca="false">$C$7*(SIN(RADIANS(160)))</f>
        <v>2.73616114660535</v>
      </c>
      <c r="U56" s="47" t="n">
        <f aca="false">$C$7*(SIN(RADIANS(170)))</f>
        <v>1.38918542133544</v>
      </c>
      <c r="V56" s="42" t="n">
        <f aca="false">$C$7*(SIN(RADIANS(180)))</f>
        <v>9.79717439317883E-016</v>
      </c>
    </row>
    <row r="58" customFormat="false" ht="12.8" hidden="false" customHeight="false" outlineLevel="0" collapsed="false">
      <c r="B58" s="31" t="s">
        <v>30</v>
      </c>
      <c r="C58" s="31"/>
      <c r="D58" s="46" t="s">
        <v>67</v>
      </c>
      <c r="E58" s="46" t="s">
        <v>68</v>
      </c>
      <c r="F58" s="46" t="s">
        <v>69</v>
      </c>
      <c r="G58" s="46" t="s">
        <v>70</v>
      </c>
      <c r="H58" s="46" t="s">
        <v>71</v>
      </c>
      <c r="I58" s="46" t="s">
        <v>72</v>
      </c>
      <c r="J58" s="46" t="s">
        <v>73</v>
      </c>
      <c r="K58" s="46" t="s">
        <v>74</v>
      </c>
      <c r="L58" s="46" t="s">
        <v>75</v>
      </c>
      <c r="M58" s="46" t="s">
        <v>76</v>
      </c>
      <c r="N58" s="46" t="s">
        <v>77</v>
      </c>
      <c r="O58" s="46" t="s">
        <v>78</v>
      </c>
      <c r="P58" s="46" t="s">
        <v>79</v>
      </c>
      <c r="Q58" s="46" t="s">
        <v>80</v>
      </c>
      <c r="R58" s="46" t="s">
        <v>81</v>
      </c>
      <c r="S58" s="46" t="s">
        <v>82</v>
      </c>
      <c r="T58" s="46" t="s">
        <v>83</v>
      </c>
      <c r="U58" s="46" t="s">
        <v>84</v>
      </c>
    </row>
    <row r="59" customFormat="false" ht="12.8" hidden="false" customHeight="false" outlineLevel="0" collapsed="false">
      <c r="B59" s="31" t="s">
        <v>48</v>
      </c>
      <c r="C59" s="31"/>
      <c r="D59" s="46" t="s">
        <v>85</v>
      </c>
      <c r="E59" s="46" t="s">
        <v>86</v>
      </c>
      <c r="F59" s="46" t="s">
        <v>87</v>
      </c>
      <c r="G59" s="46" t="s">
        <v>88</v>
      </c>
      <c r="H59" s="46" t="s">
        <v>89</v>
      </c>
      <c r="I59" s="46" t="s">
        <v>90</v>
      </c>
      <c r="J59" s="46" t="s">
        <v>91</v>
      </c>
      <c r="K59" s="46" t="s">
        <v>92</v>
      </c>
      <c r="L59" s="46" t="s">
        <v>93</v>
      </c>
      <c r="M59" s="46" t="s">
        <v>94</v>
      </c>
      <c r="N59" s="46" t="s">
        <v>95</v>
      </c>
      <c r="O59" s="46" t="s">
        <v>96</v>
      </c>
      <c r="P59" s="46" t="s">
        <v>97</v>
      </c>
      <c r="Q59" s="46" t="s">
        <v>98</v>
      </c>
      <c r="R59" s="46" t="s">
        <v>99</v>
      </c>
      <c r="S59" s="46" t="s">
        <v>100</v>
      </c>
      <c r="T59" s="46" t="s">
        <v>101</v>
      </c>
      <c r="U59" s="46" t="s">
        <v>102</v>
      </c>
    </row>
    <row r="60" customFormat="false" ht="12.8" hidden="false" customHeight="false" outlineLevel="0" collapsed="false">
      <c r="B60" s="31" t="s">
        <v>5</v>
      </c>
      <c r="C60" s="31"/>
      <c r="D60" s="47" t="n">
        <f aca="false">$C$7*(COS(RADIANS(180)))+$B$7-$C$7</f>
        <v>4</v>
      </c>
      <c r="E60" s="47" t="n">
        <f aca="false">$C$7*(COS(RADIANS(190)))+$B$7-$C$7</f>
        <v>4.12153797590234</v>
      </c>
      <c r="F60" s="47" t="n">
        <f aca="false">$C$7*(COS(RADIANS(200)))+$B$7-$C$7</f>
        <v>4.48245903371273</v>
      </c>
      <c r="G60" s="47" t="n">
        <f aca="false">$C$7*(COS(RADIANS(210)))+$B$7-$C$7</f>
        <v>5.07179676972449</v>
      </c>
      <c r="H60" s="47" t="n">
        <f aca="false">$C$7*(COS(RADIANS(220)))+$B$7-$C$7</f>
        <v>5.87164445504818</v>
      </c>
      <c r="I60" s="47" t="n">
        <f aca="false">$C$7*(COS(RADIANS(230)))+$B$7-$C$7</f>
        <v>6.85769912250768</v>
      </c>
      <c r="J60" s="47" t="n">
        <f aca="false">$C$7*(COS(RADIANS(240)))+$B$7-$C$7</f>
        <v>8</v>
      </c>
      <c r="K60" s="47" t="n">
        <f aca="false">$C$7*(COS(RADIANS(250)))+$B$7-$C$7</f>
        <v>9.26383885339465</v>
      </c>
      <c r="L60" s="47" t="n">
        <f aca="false">$C$7*(COS(RADIANS(260)))+$B$7-$C$7</f>
        <v>10.6108145786646</v>
      </c>
      <c r="M60" s="47" t="n">
        <f aca="false">$C$7*(COS(RADIANS(270)))+$B$7-$C$7</f>
        <v>12</v>
      </c>
      <c r="N60" s="47" t="n">
        <f aca="false">$C$7*(COS(RADIANS(280)))+$B$7-$C$7</f>
        <v>13.3891854213354</v>
      </c>
      <c r="O60" s="47" t="n">
        <f aca="false">$C$7*(COS(RADIANS(290)))+$B$7-$C$7</f>
        <v>14.7361611466054</v>
      </c>
      <c r="P60" s="47" t="n">
        <f aca="false">$C$7*(COS(RADIANS(300)))+$B$7-$C$7</f>
        <v>16</v>
      </c>
      <c r="Q60" s="47" t="n">
        <f aca="false">$C$7*(COS(RADIANS(310)))+$B$7-$C$7</f>
        <v>17.1423008774923</v>
      </c>
      <c r="R60" s="47" t="n">
        <f aca="false">$C$7*(COS(RADIANS(320)))+$B$7-$C$7</f>
        <v>18.1283555449518</v>
      </c>
      <c r="S60" s="47" t="n">
        <f aca="false">$C$7*(COS(RADIANS(330)))+$B$7-$C$7</f>
        <v>18.9282032302755</v>
      </c>
      <c r="T60" s="47" t="n">
        <f aca="false">$C$7*(COS(RADIANS(340)))+$B$7-$C$7</f>
        <v>19.5175409662873</v>
      </c>
      <c r="U60" s="47" t="n">
        <f aca="false">$C$7*(COS(RADIANS(350)))+$B$7-$C$7</f>
        <v>19.8784620240977</v>
      </c>
      <c r="V60" s="42" t="n">
        <f aca="false">$C$7*(COS(RADIANS(360)))+$B$7-$C$7</f>
        <v>20</v>
      </c>
    </row>
    <row r="61" customFormat="false" ht="12.8" hidden="false" customHeight="false" outlineLevel="0" collapsed="false">
      <c r="B61" s="31" t="s">
        <v>6</v>
      </c>
      <c r="C61" s="31"/>
      <c r="D61" s="47" t="n">
        <f aca="false">$C$7*(SIN(RADIANS(180)))</f>
        <v>9.79717439317883E-016</v>
      </c>
      <c r="E61" s="47" t="n">
        <f aca="false">$C$7*(SIN(RADIANS(190)))</f>
        <v>-1.38918542133544</v>
      </c>
      <c r="F61" s="47" t="n">
        <f aca="false">$C$7*(SIN(RADIANS(200)))</f>
        <v>-2.73616114660535</v>
      </c>
      <c r="G61" s="47" t="n">
        <f aca="false">$C$7*(SIN(RADIANS(210)))</f>
        <v>-4</v>
      </c>
      <c r="H61" s="47" t="n">
        <f aca="false">$C$7*(SIN(RADIANS(220)))</f>
        <v>-5.14230087749231</v>
      </c>
      <c r="I61" s="47" t="n">
        <f aca="false">$C$7*(SIN(RADIANS(230)))</f>
        <v>-6.12835554495182</v>
      </c>
      <c r="J61" s="47" t="n">
        <f aca="false">$C$7*(SIN(RADIANS(240)))</f>
        <v>-6.92820323027551</v>
      </c>
      <c r="K61" s="47" t="n">
        <f aca="false">$C$7*(SIN(RADIANS(250)))</f>
        <v>-7.51754096628727</v>
      </c>
      <c r="L61" s="47" t="n">
        <f aca="false">$C$7*(SIN(RADIANS(260)))</f>
        <v>-7.87846202409766</v>
      </c>
      <c r="M61" s="47" t="n">
        <f aca="false">$C$7*(SIN(RADIANS(270)))</f>
        <v>-8</v>
      </c>
      <c r="N61" s="47" t="n">
        <f aca="false">$C$7*(SIN(RADIANS(280)))</f>
        <v>-7.87846202409767</v>
      </c>
      <c r="O61" s="47" t="n">
        <f aca="false">$C$7*(SIN(RADIANS(290)))</f>
        <v>-7.51754096628727</v>
      </c>
      <c r="P61" s="47" t="n">
        <f aca="false">$C$7*(SIN(RADIANS(300)))</f>
        <v>-6.92820323027551</v>
      </c>
      <c r="Q61" s="47" t="n">
        <f aca="false">$C$7*(SIN(RADIANS(310)))</f>
        <v>-6.12835554495183</v>
      </c>
      <c r="R61" s="47" t="n">
        <f aca="false">$C$7*(SIN(RADIANS(320)))</f>
        <v>-5.14230087749232</v>
      </c>
      <c r="S61" s="47" t="n">
        <f aca="false">$C$7*(SIN(RADIANS(330)))</f>
        <v>-4</v>
      </c>
      <c r="T61" s="47" t="n">
        <f aca="false">$C$7*(SIN(RADIANS(340)))</f>
        <v>-2.73616114660535</v>
      </c>
      <c r="U61" s="47" t="n">
        <f aca="false">$C$7*(SIN(RADIANS(350)))</f>
        <v>-1.38918542133544</v>
      </c>
      <c r="V61" s="42" t="n">
        <f aca="false">$C$7*(SIN(RADIANS(360)))</f>
        <v>-1.95943487863577E-015</v>
      </c>
    </row>
  </sheetData>
  <mergeCells count="32">
    <mergeCell ref="B23:C23"/>
    <mergeCell ref="B24:C24"/>
    <mergeCell ref="B25:C25"/>
    <mergeCell ref="B26:C26"/>
    <mergeCell ref="B28:C28"/>
    <mergeCell ref="B29:C29"/>
    <mergeCell ref="B30:C30"/>
    <mergeCell ref="B31:C31"/>
    <mergeCell ref="B33:C33"/>
    <mergeCell ref="B34:C34"/>
    <mergeCell ref="B35:C35"/>
    <mergeCell ref="B36:C36"/>
    <mergeCell ref="B38:C38"/>
    <mergeCell ref="B39:C39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1:C51"/>
    <mergeCell ref="B53:C53"/>
    <mergeCell ref="B54:C54"/>
    <mergeCell ref="B55:C55"/>
    <mergeCell ref="B56:C56"/>
    <mergeCell ref="B58:C58"/>
    <mergeCell ref="B59:C59"/>
    <mergeCell ref="B60:C60"/>
    <mergeCell ref="B61:C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120312</TotalTime>
  <Application>LibreOffice/4.3.1.2$Linux_X86_64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2014-08-24T18:44:02Z</dcterms:created>
  <cp:keywords>曲線 ベジェ曲線 楕円</cp:keywords>
  <dc:language>ja-JP</dc:language>
  <dcterms:modified xsi:type="dcterms:W3CDTF">2014-09-20T03:37:21Z</dcterms:modified>
  <cp:revision>21</cp:revision>
  <dc:title>曲線計算表 by AZO</dc:title>
</cp:coreProperties>
</file>